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E5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Площадь участка пока под ? Надо уточнить</t>
        </r>
      </text>
    </comment>
    <comment ref="E6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кто обслуживает дома ветеранов? В.П. сказал какая то фирма "ЭКО+" </t>
        </r>
      </text>
    </comment>
    <comment ref="E6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надо Вам такое?</t>
        </r>
      </text>
    </comment>
    <comment ref="B7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надо будет составить
</t>
        </r>
      </text>
    </comment>
  </commentList>
</comments>
</file>

<file path=xl/sharedStrings.xml><?xml version="1.0" encoding="utf-8"?>
<sst xmlns="http://schemas.openxmlformats.org/spreadsheetml/2006/main" count="370" uniqueCount="250">
  <si>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</si>
  <si>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</si>
  <si>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</si>
  <si>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</si>
  <si>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</si>
  <si>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</si>
  <si>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</si>
  <si>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</si>
  <si>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</si>
  <si>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Управл. расходы, руб.</t>
  </si>
  <si>
    <t>Стоимость, руб.</t>
  </si>
  <si>
    <t>Простая масляная окраска ранее окрашенных поверхностей</t>
  </si>
  <si>
    <t>100 м2 окрашенной поверхности</t>
  </si>
  <si>
    <t>100 кв.м</t>
  </si>
  <si>
    <t>Заделка выбоин в цементных полах</t>
  </si>
  <si>
    <t>кв.м.</t>
  </si>
  <si>
    <t>Смена поврежденных листов асбоцементных кровель</t>
  </si>
  <si>
    <t>100 м2 сменяемого покрытия</t>
  </si>
  <si>
    <t>Простая масляная окраска дверей</t>
  </si>
  <si>
    <t>100 кв.м.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</si>
  <si>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</si>
  <si>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</si>
  <si>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Окрашивание масляными составами торцов лестничных маршей и площадок</t>
  </si>
  <si>
    <t>Окрашивание масляными составами деревянных поручней</t>
  </si>
  <si>
    <t>100  м поручня</t>
  </si>
  <si>
    <t>1 подогреватель</t>
  </si>
  <si>
    <t>100 м2 восстановленного участка</t>
  </si>
  <si>
    <t>Замена внутренних водопроводов из стальных труб   на металлопластиковые, диаметром 25 мм</t>
  </si>
  <si>
    <t>100 м трубопроводов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</si>
  <si>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</si>
  <si>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Устранение засоров внутренних канализационных трубопроводов</t>
  </si>
  <si>
    <t>100 м трубы</t>
  </si>
  <si>
    <t>Осмотр территории вокруг здания и фундамента</t>
  </si>
  <si>
    <t>1000 кв.м. общей площади</t>
  </si>
  <si>
    <t>1000 кв.м. кровли</t>
  </si>
  <si>
    <t>100 квартир</t>
  </si>
  <si>
    <t>Промывка участка водопровода</t>
  </si>
  <si>
    <t>100 куб.м. здания</t>
  </si>
  <si>
    <t>1000 м2  площади помещений</t>
  </si>
  <si>
    <t>Проведение технических осмотров и устранение незначительных неисправностей в системе вентиляции</t>
  </si>
  <si>
    <t>1 здание</t>
  </si>
  <si>
    <t>Промывка трубопроводов системы центрального отопления</t>
  </si>
  <si>
    <t>10 м трубопровода</t>
  </si>
  <si>
    <t>1 прибор учета</t>
  </si>
  <si>
    <t>Снятие и запись показаний с вычислителя в журнал</t>
  </si>
  <si>
    <t>1 узел учета</t>
  </si>
  <si>
    <t>100 м2 чердаков и подвалов</t>
  </si>
  <si>
    <t>1 000 кв.м. территории</t>
  </si>
  <si>
    <t>Очистка урн от мусора</t>
  </si>
  <si>
    <t>на 100 урн</t>
  </si>
  <si>
    <t>10 000 кв.м. территории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</si>
  <si>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</si>
  <si>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</si>
  <si>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</si>
  <si>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</si>
  <si>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</si>
  <si>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</si>
  <si>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</si>
  <si>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</si>
  <si>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</si>
  <si>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</si>
  <si>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</si>
  <si>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</si>
  <si>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</si>
  <si>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</si>
  <si>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</si>
  <si>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</si>
  <si>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</si>
  <si>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</si>
  <si>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</si>
  <si>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3 разряда</t>
  </si>
  <si>
    <t>чел.-час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</si>
  <si>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</si>
  <si>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</si>
  <si>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</si>
  <si>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</si>
  <si>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</si>
  <si>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Каменщик 4 разряда</t>
  </si>
  <si>
    <t>Каменщик 5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</si>
  <si>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</si>
  <si>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</si>
  <si>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</si>
  <si>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</si>
  <si>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</si>
  <si>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</si>
  <si>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</si>
  <si>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</si>
  <si>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</si>
  <si>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</si>
  <si>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Слесарь по контрольно-измерительным приборам и автоматике 3 разряда</t>
  </si>
  <si>
    <t>Слесарь по обслуживанию тепловых пунктов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</si>
  <si>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</si>
  <si>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</si>
  <si>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</si>
  <si>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</si>
  <si>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</si>
  <si>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</si>
  <si>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</si>
  <si>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</si>
  <si>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</si>
  <si>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</si>
  <si>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</si>
  <si>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Ацетилен газообразный технический</t>
  </si>
  <si>
    <t>м3</t>
  </si>
  <si>
    <t>Белила</t>
  </si>
  <si>
    <t>т</t>
  </si>
  <si>
    <t>Болты с гайками и шайбами для санитарно-технических работ, диаметром 16 мм</t>
  </si>
  <si>
    <t xml:space="preserve">Вентили проходные фланцевые 15С22НЖ для воды и пара, давлением 4 МПа (40 кгс/см2), диаметром 50 мм </t>
  </si>
  <si>
    <t>шт.</t>
  </si>
  <si>
    <t>Веревка техническая из пенькового волокна</t>
  </si>
  <si>
    <t>Ветошь</t>
  </si>
  <si>
    <t>кг</t>
  </si>
  <si>
    <t>Вода водопроводная</t>
  </si>
  <si>
    <t>Гвозди строительные с плоской головкой 1,8 x60 мм</t>
  </si>
  <si>
    <t>Готовая смесь для уничтожения насекомых (порошок Абсолют Дуст)</t>
  </si>
  <si>
    <t>Детали к листам асбестоцементным волнистым обыкновенного профиля, коньковые К-1 и К-2</t>
  </si>
  <si>
    <t>100 пар</t>
  </si>
  <si>
    <t>Дюбели-гвозди</t>
  </si>
  <si>
    <t>10 шт.</t>
  </si>
  <si>
    <t>Известь строительная негашеная комовая, сорт I</t>
  </si>
  <si>
    <t>Известь строительная негашеная хлорная марки А</t>
  </si>
  <si>
    <t xml:space="preserve">Керосин для технических целей марок КТ-1, КТ-2 </t>
  </si>
  <si>
    <t>Кислород технический газообразный</t>
  </si>
  <si>
    <t>Кран шаровой В-В размером 1"</t>
  </si>
  <si>
    <t>Краны регулирующие трехходовые  КРТПП, латунные диаметром 20 мм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</si>
  <si>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</si>
  <si>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</si>
  <si>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</si>
  <si>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</si>
  <si>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</si>
  <si>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Крепления для трубопроводов: кронштейны, планки, хомуты</t>
  </si>
  <si>
    <t>Лак  масляный</t>
  </si>
  <si>
    <t>Лампа накаливания газопольная в прозрачной колбе МО 40-60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</si>
  <si>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</si>
  <si>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Лента ФУМ</t>
  </si>
  <si>
    <t>Листы асбестоцементные волнистые обыкновенного профиля толщиной 5,5 мм</t>
  </si>
  <si>
    <t>м2</t>
  </si>
  <si>
    <t xml:space="preserve">Манометры общего назначения с трехходовым краном ОБМ1-100 </t>
  </si>
  <si>
    <t>компл.</t>
  </si>
  <si>
    <t>Мастика тиоколовая строительного назначения КБ-0,5</t>
  </si>
  <si>
    <t>Маты минераловатные прошивные без обкладок М-100, толщина  40 мм</t>
  </si>
  <si>
    <t>Металлические изделия</t>
  </si>
  <si>
    <t>Мешки полиэтиленовые, 60 л</t>
  </si>
  <si>
    <t>Мыло</t>
  </si>
  <si>
    <t>Натр едкий (сода каустическая) технический марки ГР</t>
  </si>
  <si>
    <t>Ниппель размером 1</t>
  </si>
  <si>
    <t>Олифа комбинированная К-3</t>
  </si>
  <si>
    <t>Олифа натуральная</t>
  </si>
  <si>
    <t>Очес льняной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</si>
  <si>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</si>
  <si>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</si>
  <si>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</si>
  <si>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Переходник H-В размером 1"</t>
  </si>
  <si>
    <t>Пигмент тертый</t>
  </si>
  <si>
    <t>Поковки из квадратных заготовок массой 1,8 кг</t>
  </si>
  <si>
    <t>Поковки простые строительные (скобы, закрепы, хомуты и т.п.) массой до 1,6 кг</t>
  </si>
  <si>
    <t>Прокладки толевые уплотнительные 20 x 20 мм</t>
  </si>
  <si>
    <t>Раствор готовый кладочный цементный М100</t>
  </si>
  <si>
    <t>Раствор готовый кладочный цементный М400</t>
  </si>
  <si>
    <t>Резина листовая вулканизованная цветная</t>
  </si>
  <si>
    <t>Сгоны стальные с муфтой и контргайкой, диаметром 32 мм</t>
  </si>
  <si>
    <t>Семена газонной травы</t>
  </si>
  <si>
    <t>Сетка тканая с квадратными ячейками N 05 без покрытия</t>
  </si>
  <si>
    <t>Соединительные детали "Vestol" размером 1"</t>
  </si>
  <si>
    <t>Термометр прямой (угловой) ртутный (ножка 66 мм) до 160 град С в оправе</t>
  </si>
  <si>
    <t>Ткань хлопчатобумажная техническая</t>
  </si>
  <si>
    <t>Толстолистовой горячекатаный прокат в листах с обрезными кромками толщиной 9 - 12 мм, шириной свыше 1400 до 1500 мм, сталь С255</t>
  </si>
  <si>
    <t>Тройник размером 1"</t>
  </si>
  <si>
    <t>Трубки защитные гофрированные</t>
  </si>
  <si>
    <t>пог. м.</t>
  </si>
  <si>
    <t>Трубы металлопластиковые многослойные диаметром 25 мм</t>
  </si>
  <si>
    <t>пог. м</t>
  </si>
  <si>
    <t>Трубы чугунные канализационные длиной 2 м, диаметром 50 мм</t>
  </si>
  <si>
    <t>Угольник H-В размером 1"</t>
  </si>
  <si>
    <t>Удобрения сложно-смешанные</t>
  </si>
  <si>
    <t>Фасонные части к чугунным трубопроводам диаметром 50 мм</t>
  </si>
  <si>
    <t>т.</t>
  </si>
  <si>
    <t>Фиксатор пластмассовый ординарный для металлополимерных труб размером 1"</t>
  </si>
  <si>
    <t>Цемент глиноземистый марки 400</t>
  </si>
  <si>
    <t>Шайбы плоские из оцинкованной стали</t>
  </si>
  <si>
    <t>Шкурка шлифовальная двухслойная с зернистостью 40-25</t>
  </si>
  <si>
    <t>Шпатлевка клеевая</t>
  </si>
  <si>
    <t>Шпатлевка масленно-клеевая</t>
  </si>
  <si>
    <t>Шурупы с полукруглой головкой 6 x 80 мм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</si>
  <si>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</si>
  <si>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</si>
  <si>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</si>
  <si>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</si>
  <si>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</si>
  <si>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</si>
  <si>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</si>
  <si>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</si>
  <si>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</si>
  <si>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</si>
  <si>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</si>
  <si>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Машины/Механизмы</t>
  </si>
  <si>
    <t>Вышки телескопические 25 м</t>
  </si>
  <si>
    <t>маш.-час</t>
  </si>
  <si>
    <t>Компрессор передвижной с двигателем внутреннего сгорания</t>
  </si>
  <si>
    <t>маш.-час.</t>
  </si>
  <si>
    <t>ТАРИФ,  руб/кв.м. в мес.</t>
  </si>
  <si>
    <t>Исп.  Зам.ген.директора по ЖКХ ЗАО "Амурплодсемпром"</t>
  </si>
  <si>
    <t>И.А. Тимакова</t>
  </si>
  <si>
    <t>1. КОНСТРУКТИВНЫЕ ЭЛЕМЕНТЫ</t>
  </si>
  <si>
    <t>1.3. Крыши и кровли</t>
  </si>
  <si>
    <t>1.2. Полы</t>
  </si>
  <si>
    <t>1.4. Оконные и дверные проёмы</t>
  </si>
  <si>
    <t xml:space="preserve"> 1.5.Лестницы</t>
  </si>
  <si>
    <t>2. ВНУТРИДОМОВОЕ ИНЖЕНЕРНОЕ ОБОРУДОВАНИЕ И ТЕХНИЧЕСКИЕ УСТРОЙСТВА</t>
  </si>
  <si>
    <t>2.1. Система теплоснабжения</t>
  </si>
  <si>
    <t>2.2 Системы холодного и горячего водоснабжения</t>
  </si>
  <si>
    <t>2.3. Система водоотведения</t>
  </si>
  <si>
    <t>2.4. Система газоснабжения (ОАО "Амургаз")</t>
  </si>
  <si>
    <t>Техническое обслуживание и ремонт ВДГО</t>
  </si>
  <si>
    <t>2.5. Внутридомовое электрооборудование (ООО "Электромонтаж)</t>
  </si>
  <si>
    <t>Обслуживание электрических сетей, профилактический осмотр, замена вышедших из строя элементов электрооборудования</t>
  </si>
  <si>
    <t>2.6. Подготовка дома к сезонной эксплуатации, проведение технических осмотров</t>
  </si>
  <si>
    <t>3. АВАРИЙНО-ДИСПЕТЧЕРСКОЕ ОБСЛУЖИВАНИЕ</t>
  </si>
  <si>
    <t>1.1. Фундаменты; кирпичные , каменные, железобетонные стены</t>
  </si>
  <si>
    <t>4. САНИТАРНОЕ СОДЕРЖАНИЕ МЕСТ ОБЩЕГО ПОЛЬЗОВАНИЯ, УБОРКА И БЛАГОУСТРОЙСТВО ПРИДОМОВОЙ ТЕРРИТОРИИ</t>
  </si>
  <si>
    <t>Ремонт обыкновенной штукатурки   фасадов отдельными местами  сухой растворной смесью , грунтование, покраска составами для наружных работ</t>
  </si>
  <si>
    <t>100 м2 отремонтированной поверхности</t>
  </si>
  <si>
    <t>Заделка мелких неровностей, восстановление нарушенного внутреннего  штукатурного слоя стен и потолков отдельными местами, грунтование специальным раствором</t>
  </si>
  <si>
    <t>Окраска ранее окрашенных поверхностей потолков</t>
  </si>
  <si>
    <t>Текущий ремонт водянных подогревателей</t>
  </si>
  <si>
    <t>Осмотр всех элементов кровель. Проверка кровли на отсутствие протечек, скопление снега и наледи.  Выполнение необходимых работ по устранению неисправностей</t>
  </si>
  <si>
    <t>Осмотр водопровода, канализации . Проверка исправности, работоспособности, регулировка и техническое обслуживание запорной арматуры, разводящих трубопроводов</t>
  </si>
  <si>
    <t>Регулировка и наладка систем отопления. Осмотр устройства системы центрального отопления. Проверка исправности, работоспособности, регулировка и техническое обслуживание запорной арматуры</t>
  </si>
  <si>
    <t xml:space="preserve">Уборка чердаков и подвалов </t>
  </si>
  <si>
    <t>Услуги по сбору и  транспортировке ТБО населения</t>
  </si>
  <si>
    <t>1000 м2  общей площади жилых помещений</t>
  </si>
  <si>
    <t xml:space="preserve"> Благоустройство (завоз земли, рассада цветов) и покраска элементов(бордюров, скамеек и пр.) дворовых площадок </t>
  </si>
  <si>
    <t>Смета расходов. Список работ (услуг) по надлежащему содержанию общего имущества МКД.Стоимость работ и услуг на 2017г.</t>
  </si>
  <si>
    <t>Проверка состояния  окон и дверей подъездов,  запорных устройств на них. Проверка целосности оконных и дверных заполнений Устранение выявленных неисправностей.</t>
  </si>
  <si>
    <t>Изоляция трубопровода</t>
  </si>
  <si>
    <t>Круглосуточная аварийно-диспетчерская служба.Обеспечение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</si>
  <si>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Подметание в летний период  земельного участка с усовершенствованным покрытием 1 класса</t>
  </si>
  <si>
    <t>Сдвижка и подметание снега при отсутствии снегопада на придомовой территории с усовершенствованным покрытием 1 класса</t>
  </si>
  <si>
    <t>Сдвижка и подметание снега при снегопаде на придомовой территории с усовершенствованным покрытием 1 класса</t>
  </si>
  <si>
    <t xml:space="preserve">100 м2  мест общего пользования  </t>
  </si>
  <si>
    <t>Мытье  лестничных площадок и маршей в доме этажностью до 3-х этажей (в доме без лифтов и мусоропровода)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</si>
  <si>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</si>
  <si>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Перечень услуг и работ на 2017г. определён в соответствии с АКТОМ технического состояния дома № 146/2 литер А по ул. Шимановского от "_______" _____________________ 2016г.</t>
  </si>
  <si>
    <t xml:space="preserve">Уполномоченный представитель по доверенности с правом подписи _________________________  </t>
  </si>
  <si>
    <t xml:space="preserve">Перечень услуг и работ определён в соответствии с минимальным перечнем работ, необходимых для  обеспечения надлежащего содержания общего имущества  и утверждён собственникам жилых помещений дома </t>
  </si>
  <si>
    <t>г. Благовещенск, ул. Шимановского 148 литер А</t>
  </si>
  <si>
    <t>Общая площадь квартир МКД, м2</t>
  </si>
  <si>
    <t>Непредвиденные расходы, руб.</t>
  </si>
  <si>
    <t>Визуальный осмотр прибора учета воды диаметром 50-250 мм и проверка наличия и нарушения пломб.Проверка работоспособности запорной арматуры и очистка фильтров</t>
  </si>
  <si>
    <t>Визуальный осмотр прибота учета тепла и проверка наличия и нарушения пломб. Проверка работоспособности запорной арматуры и очистка фильтра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</si>
</sst>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51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2"/>
    </font>
    <font>
      <b/>
      <sz val="11"/>
      <color indexed="10"/>
      <name val="Courier"/>
      <family val="1"/>
    </font>
    <font>
      <b/>
      <sz val="11"/>
      <color indexed="10"/>
      <name val="Arial"/>
      <family val="2"/>
    </font>
    <font>
      <b/>
      <sz val="12"/>
      <color indexed="10"/>
      <name val="Courier"/>
      <family val="1"/>
    </font>
    <font>
      <b/>
      <sz val="9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5"/>
      <color indexed="10"/>
      <name val="Courier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 applyProtection="1">
      <alignment horizontal="right" vertical="center"/>
      <protection/>
    </xf>
    <xf numFmtId="2" fontId="9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 applyProtection="1">
      <alignment horizontal="right" vertical="center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4" fontId="0" fillId="0" borderId="23" xfId="0" applyNumberFormat="1" applyFill="1" applyBorder="1" applyAlignment="1" applyProtection="1">
      <alignment horizontal="right" vertical="center"/>
      <protection/>
    </xf>
    <xf numFmtId="4" fontId="0" fillId="0" borderId="24" xfId="0" applyNumberForma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2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4" fontId="4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="72" zoomScaleNormal="72" zoomScalePageLayoutView="0" workbookViewId="0" topLeftCell="B44">
      <selection activeCell="C60" sqref="C50:C6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8" width="13.00390625" style="0" customWidth="1"/>
    <col min="9" max="9" width="11.28125" style="0" customWidth="1"/>
    <col min="10" max="10" width="11.421875" style="0" customWidth="1"/>
    <col min="11" max="11" width="11.140625" style="0" customWidth="1"/>
    <col min="12" max="12" width="13.00390625" style="0" customWidth="1"/>
    <col min="13" max="13" width="13.7109375" style="0" customWidth="1"/>
  </cols>
  <sheetData>
    <row r="1" spans="2:13" ht="41.25" customHeight="1" thickBot="1">
      <c r="B1" s="48" t="s">
        <v>232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20.25" customHeight="1" thickBot="1">
      <c r="B2" s="49" t="s">
        <v>245</v>
      </c>
      <c r="C2" s="50"/>
      <c r="D2" s="50"/>
      <c r="E2" s="51"/>
      <c r="F2" s="51"/>
      <c r="G2" s="52"/>
      <c r="H2" s="52"/>
      <c r="I2" s="52"/>
      <c r="J2" s="52"/>
      <c r="K2" s="52"/>
      <c r="L2" s="52"/>
      <c r="M2" s="53"/>
    </row>
    <row r="3" spans="1:13" ht="51.75" thickBot="1">
      <c r="A3" s="1"/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247</v>
      </c>
      <c r="L3" s="3" t="s">
        <v>9</v>
      </c>
      <c r="M3" s="4" t="s">
        <v>10</v>
      </c>
    </row>
    <row r="4" spans="2:13" ht="19.5" customHeight="1">
      <c r="B4" s="56" t="s">
        <v>203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ht="19.5" customHeight="1">
      <c r="B5" s="59" t="s">
        <v>218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2:13" ht="36">
      <c r="B6" s="5">
        <v>1</v>
      </c>
      <c r="C6" s="6" t="s">
        <v>220</v>
      </c>
      <c r="D6" s="6" t="s">
        <v>221</v>
      </c>
      <c r="E6" s="7">
        <v>0</v>
      </c>
      <c r="F6" s="7">
        <v>0</v>
      </c>
      <c r="G6" s="8">
        <f>24256.8*E6*F6</f>
        <v>0</v>
      </c>
      <c r="H6" s="8">
        <f>1329.7566011664*E6*F6</f>
        <v>0</v>
      </c>
      <c r="I6" s="8">
        <v>0</v>
      </c>
      <c r="J6" s="8">
        <f>18337.718434752*E6*F6</f>
        <v>0</v>
      </c>
      <c r="K6" s="8">
        <f>0*E6*F6</f>
        <v>0</v>
      </c>
      <c r="L6" s="8">
        <f>631.47755*E6*F6</f>
        <v>0</v>
      </c>
      <c r="M6" s="27">
        <f>SUM(G6:L6)</f>
        <v>0</v>
      </c>
    </row>
    <row r="7" spans="2:13" ht="53.25" customHeight="1">
      <c r="B7" s="5">
        <v>2</v>
      </c>
      <c r="C7" s="6" t="s">
        <v>222</v>
      </c>
      <c r="D7" s="6" t="s">
        <v>12</v>
      </c>
      <c r="E7" s="25">
        <v>0</v>
      </c>
      <c r="F7" s="7">
        <v>0</v>
      </c>
      <c r="G7" s="8">
        <f>24256.8*E7*F7</f>
        <v>0</v>
      </c>
      <c r="H7" s="8">
        <f>1329.7566011664*E7*F7</f>
        <v>0</v>
      </c>
      <c r="I7" s="27">
        <f>0*E7*F7</f>
        <v>0</v>
      </c>
      <c r="J7" s="8">
        <f>18337.718434752*E7*F7</f>
        <v>0</v>
      </c>
      <c r="K7" s="27">
        <f>0*E7*F7</f>
        <v>0</v>
      </c>
      <c r="L7" s="8">
        <f>631.47755*E7*F7</f>
        <v>0</v>
      </c>
      <c r="M7" s="27">
        <f>SUM(G7:L7)</f>
        <v>0</v>
      </c>
    </row>
    <row r="8" spans="2:15" ht="27.75" customHeight="1">
      <c r="B8" s="5">
        <v>3</v>
      </c>
      <c r="C8" s="6" t="s">
        <v>11</v>
      </c>
      <c r="D8" s="6" t="s">
        <v>12</v>
      </c>
      <c r="E8" s="7">
        <v>0</v>
      </c>
      <c r="F8" s="7">
        <v>0</v>
      </c>
      <c r="G8" s="8">
        <f>24256.8*E8*F8</f>
        <v>0</v>
      </c>
      <c r="H8" s="8">
        <f>1329.7566011664*E8*F8</f>
        <v>0</v>
      </c>
      <c r="I8" s="8">
        <f>0*E8*F8</f>
        <v>0</v>
      </c>
      <c r="J8" s="8">
        <f>718.0393792*E8*F8</f>
        <v>0</v>
      </c>
      <c r="K8" s="8">
        <f>0*E8*F8</f>
        <v>0</v>
      </c>
      <c r="L8" s="8">
        <f>631.47755*E8*F8</f>
        <v>0</v>
      </c>
      <c r="M8" s="9">
        <f>SUM(G8:L8)</f>
        <v>0</v>
      </c>
      <c r="O8" s="24"/>
    </row>
    <row r="9" spans="2:13" ht="27" customHeight="1">
      <c r="B9" s="5">
        <v>4</v>
      </c>
      <c r="C9" s="6" t="s">
        <v>223</v>
      </c>
      <c r="D9" s="6" t="s">
        <v>13</v>
      </c>
      <c r="E9" s="7">
        <v>0</v>
      </c>
      <c r="F9" s="7">
        <v>0</v>
      </c>
      <c r="G9" s="8">
        <f>1175.1872*E9*F9</f>
        <v>0</v>
      </c>
      <c r="H9" s="8">
        <f>433.123976703*E9*F9</f>
        <v>0</v>
      </c>
      <c r="I9" s="8">
        <f>0*E9*F9</f>
        <v>0</v>
      </c>
      <c r="J9" s="8">
        <f>883.7407744*E9*F9</f>
        <v>0</v>
      </c>
      <c r="K9" s="8">
        <f>0*E9*F9</f>
        <v>0</v>
      </c>
      <c r="L9" s="8">
        <f>631.47755*E9*F9</f>
        <v>0</v>
      </c>
      <c r="M9" s="9">
        <f>SUM(G9:L9)</f>
        <v>0</v>
      </c>
    </row>
    <row r="10" spans="2:13" ht="15.75">
      <c r="B10" s="42" t="s">
        <v>205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3" ht="12">
      <c r="B11" s="5">
        <v>5</v>
      </c>
      <c r="C11" s="6" t="s">
        <v>14</v>
      </c>
      <c r="D11" s="6" t="s">
        <v>15</v>
      </c>
      <c r="E11" s="28">
        <v>0</v>
      </c>
      <c r="F11" s="7">
        <v>1</v>
      </c>
      <c r="G11" s="8">
        <f>153.6264*E11*F11</f>
        <v>0</v>
      </c>
      <c r="H11" s="8">
        <f>153.6264*F11*G11</f>
        <v>0</v>
      </c>
      <c r="I11" s="8">
        <f>153.6264*G11*H11</f>
        <v>0</v>
      </c>
      <c r="J11" s="8">
        <f>115.5270528*E11*F11</f>
        <v>0</v>
      </c>
      <c r="K11" s="8">
        <f>0*E11*F11</f>
        <v>0</v>
      </c>
      <c r="L11" s="8">
        <f>69.13188*E11*F11</f>
        <v>0</v>
      </c>
      <c r="M11" s="9">
        <f>SUM(G11:L11)</f>
        <v>0</v>
      </c>
    </row>
    <row r="12" spans="2:13" ht="15.75">
      <c r="B12" s="42" t="s">
        <v>204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2:13" ht="24">
      <c r="B13" s="5">
        <v>6</v>
      </c>
      <c r="C13" s="6" t="s">
        <v>16</v>
      </c>
      <c r="D13" s="6" t="s">
        <v>17</v>
      </c>
      <c r="E13" s="7">
        <v>0</v>
      </c>
      <c r="F13" s="7">
        <v>0</v>
      </c>
      <c r="G13" s="8">
        <f>7560.7098*E13*F13</f>
        <v>0</v>
      </c>
      <c r="H13" s="8">
        <f>36899.69876592*E13*F13</f>
        <v>0</v>
      </c>
      <c r="I13" s="8">
        <f>0*E13*F13</f>
        <v>0</v>
      </c>
      <c r="J13" s="8">
        <v>0</v>
      </c>
      <c r="K13" s="8">
        <f>0*E13*F13</f>
        <v>0</v>
      </c>
      <c r="L13" s="8">
        <v>0</v>
      </c>
      <c r="M13" s="9">
        <f>SUM(G13:L13)</f>
        <v>0</v>
      </c>
    </row>
    <row r="14" spans="2:13" ht="15.75">
      <c r="B14" s="42" t="s">
        <v>206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2:13" ht="54.75" customHeight="1">
      <c r="B15" s="5">
        <v>7</v>
      </c>
      <c r="C15" s="39" t="s">
        <v>233</v>
      </c>
      <c r="D15" s="6" t="s">
        <v>38</v>
      </c>
      <c r="E15" s="25">
        <v>1.612</v>
      </c>
      <c r="F15" s="26">
        <v>2</v>
      </c>
      <c r="G15" s="8">
        <f>199.06768*E15*F15+1500</f>
        <v>2141.79420032</v>
      </c>
      <c r="H15" s="8">
        <v>3230</v>
      </c>
      <c r="I15" s="8">
        <f>0*E15*F15</f>
        <v>0</v>
      </c>
      <c r="J15" s="8">
        <f>107.42689536*E15*F15+1000</f>
        <v>1346.34431064064</v>
      </c>
      <c r="K15" s="8">
        <v>0</v>
      </c>
      <c r="L15" s="8">
        <f>94.687224*E15*F15+300</f>
        <v>605.271610176</v>
      </c>
      <c r="M15" s="9">
        <f>SUM(G15:L15)</f>
        <v>7323.410121136641</v>
      </c>
    </row>
    <row r="16" spans="2:13" ht="12">
      <c r="B16" s="5">
        <v>8</v>
      </c>
      <c r="C16" s="6" t="s">
        <v>18</v>
      </c>
      <c r="D16" s="6" t="s">
        <v>19</v>
      </c>
      <c r="E16" s="7">
        <v>0</v>
      </c>
      <c r="F16" s="7">
        <v>0</v>
      </c>
      <c r="G16" s="8">
        <f>7785.6152*E16*F16</f>
        <v>0</v>
      </c>
      <c r="H16" s="8">
        <f aca="true" t="shared" si="0" ref="H16:M16">7785.6152*F16*G16</f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</row>
    <row r="17" spans="1:13" ht="15.75">
      <c r="A17" s="42" t="s">
        <v>207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9"/>
    </row>
    <row r="18" spans="2:13" ht="24">
      <c r="B18" s="5">
        <v>9</v>
      </c>
      <c r="C18" s="6" t="s">
        <v>20</v>
      </c>
      <c r="D18" s="6" t="s">
        <v>21</v>
      </c>
      <c r="E18" s="7">
        <v>0</v>
      </c>
      <c r="F18" s="7">
        <v>1</v>
      </c>
      <c r="G18" s="8">
        <f>10240.44609*E18*F18</f>
        <v>0</v>
      </c>
      <c r="H18" s="8">
        <f>10240.44609*F18*G18</f>
        <v>0</v>
      </c>
      <c r="I18" s="8">
        <f>10240.44609*G18*H18</f>
        <v>0</v>
      </c>
      <c r="J18" s="8">
        <f>10240.44609*H18*I18</f>
        <v>0</v>
      </c>
      <c r="K18" s="8">
        <f>0*E18*F18</f>
        <v>0</v>
      </c>
      <c r="L18" s="8">
        <f>5632.2453495*E18*F18</f>
        <v>0</v>
      </c>
      <c r="M18" s="9">
        <f>SUM(G18:L18)</f>
        <v>0</v>
      </c>
    </row>
    <row r="19" spans="2:13" ht="24">
      <c r="B19" s="5">
        <v>10</v>
      </c>
      <c r="C19" s="6" t="s">
        <v>22</v>
      </c>
      <c r="D19" s="6" t="s">
        <v>12</v>
      </c>
      <c r="E19" s="7">
        <v>0</v>
      </c>
      <c r="F19" s="7">
        <v>1</v>
      </c>
      <c r="G19" s="8">
        <f>6145.056*E19*F19</f>
        <v>0</v>
      </c>
      <c r="H19" s="8">
        <f>10240.44609*F19*G19</f>
        <v>0</v>
      </c>
      <c r="I19" s="8">
        <f>10240.44609*G19*H19</f>
        <v>0</v>
      </c>
      <c r="J19" s="8">
        <f>10240.44609*H19*I19</f>
        <v>0</v>
      </c>
      <c r="K19" s="8">
        <f>0*E19*F19</f>
        <v>0</v>
      </c>
      <c r="L19" s="8">
        <f>3379.7808*E19*F19</f>
        <v>0</v>
      </c>
      <c r="M19" s="9">
        <f>SUM(G19:L19)</f>
        <v>0</v>
      </c>
    </row>
    <row r="20" spans="2:13" ht="24">
      <c r="B20" s="5">
        <v>11</v>
      </c>
      <c r="C20" s="6" t="s">
        <v>23</v>
      </c>
      <c r="D20" s="6" t="s">
        <v>24</v>
      </c>
      <c r="E20" s="28">
        <v>0</v>
      </c>
      <c r="F20" s="7">
        <v>1</v>
      </c>
      <c r="G20" s="8">
        <f>2005.2288*E20*F20</f>
        <v>0</v>
      </c>
      <c r="H20" s="8">
        <f>10240.44609*F20*G20</f>
        <v>0</v>
      </c>
      <c r="I20" s="8">
        <f>0*E20*F20</f>
        <v>0</v>
      </c>
      <c r="J20" s="8">
        <f>1507.9320576*E20*F20</f>
        <v>0</v>
      </c>
      <c r="K20" s="8">
        <f>0*E20*F20</f>
        <v>0</v>
      </c>
      <c r="L20" s="8">
        <f>902.35296*E20*F20</f>
        <v>0</v>
      </c>
      <c r="M20" s="9">
        <f>SUM(G20:L20)</f>
        <v>0</v>
      </c>
    </row>
    <row r="21" spans="2:13" ht="18">
      <c r="B21" s="63" t="s">
        <v>208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ht="15.75">
      <c r="B22" s="42" t="s">
        <v>209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2:13" ht="12">
      <c r="B23" s="5">
        <v>12</v>
      </c>
      <c r="C23" s="6" t="s">
        <v>224</v>
      </c>
      <c r="D23" s="6" t="s">
        <v>25</v>
      </c>
      <c r="E23" s="7">
        <v>1</v>
      </c>
      <c r="F23" s="7">
        <v>1</v>
      </c>
      <c r="G23" s="8">
        <f>3235.7492*E23*F23+2000</f>
        <v>5235.7492</v>
      </c>
      <c r="H23" s="8">
        <f>4796.27748103*E23*F23-3500</f>
        <v>1296.2774810299998</v>
      </c>
      <c r="I23" s="8">
        <f>0*E23*F23</f>
        <v>0</v>
      </c>
      <c r="J23" s="8">
        <f>929.2833984*E23*F23+2000</f>
        <v>2929.2833984</v>
      </c>
      <c r="K23" s="8">
        <v>0</v>
      </c>
      <c r="L23" s="8">
        <f>556.08714*E23*F23+300</f>
        <v>856.08714</v>
      </c>
      <c r="M23" s="9">
        <f>SUM(G23:L23)</f>
        <v>10317.39721943</v>
      </c>
    </row>
    <row r="24" spans="2:13" ht="24">
      <c r="B24" s="5">
        <v>13</v>
      </c>
      <c r="C24" s="6" t="s">
        <v>234</v>
      </c>
      <c r="D24" s="6" t="s">
        <v>26</v>
      </c>
      <c r="E24" s="7">
        <v>0.2</v>
      </c>
      <c r="F24" s="7">
        <v>1</v>
      </c>
      <c r="G24" s="8">
        <f>9474.9468*E24*F24+3000</f>
        <v>4894.98936</v>
      </c>
      <c r="H24" s="8">
        <f>1321.0766031*E24*F24+2000</f>
        <v>2264.21532062</v>
      </c>
      <c r="I24" s="8">
        <f>0*E24*F24</f>
        <v>0</v>
      </c>
      <c r="J24" s="8">
        <f>7125.1599936*E24*F24+1000</f>
        <v>2425.03199872</v>
      </c>
      <c r="K24" s="8">
        <v>0</v>
      </c>
      <c r="L24" s="8">
        <f>679.66206*E24*F24+100</f>
        <v>235.932412</v>
      </c>
      <c r="M24" s="9">
        <f>SUM(G24:L24)</f>
        <v>9820.16909134</v>
      </c>
    </row>
    <row r="25" spans="2:13" ht="15.75">
      <c r="B25" s="42" t="s">
        <v>210</v>
      </c>
      <c r="C25" s="43"/>
      <c r="D25" s="43"/>
      <c r="E25" s="43"/>
      <c r="F25" s="43"/>
      <c r="G25" s="46"/>
      <c r="H25" s="46"/>
      <c r="I25" s="46"/>
      <c r="J25" s="46"/>
      <c r="K25" s="46"/>
      <c r="L25" s="46"/>
      <c r="M25" s="47"/>
    </row>
    <row r="26" spans="2:13" ht="24">
      <c r="B26" s="5">
        <v>14</v>
      </c>
      <c r="C26" s="6" t="s">
        <v>27</v>
      </c>
      <c r="D26" s="6" t="s">
        <v>28</v>
      </c>
      <c r="E26" s="7">
        <v>0</v>
      </c>
      <c r="F26" s="7">
        <v>1</v>
      </c>
      <c r="G26" s="8">
        <f>25915.74904*E26*F26</f>
        <v>0</v>
      </c>
      <c r="H26" s="8">
        <f aca="true" t="shared" si="1" ref="H26:M26">25915.74904*F26*G26</f>
        <v>0</v>
      </c>
      <c r="I26" s="8">
        <f t="shared" si="1"/>
        <v>0</v>
      </c>
      <c r="J26" s="8">
        <f t="shared" si="1"/>
        <v>0</v>
      </c>
      <c r="K26" s="8">
        <f t="shared" si="1"/>
        <v>0</v>
      </c>
      <c r="L26" s="8">
        <f t="shared" si="1"/>
        <v>0</v>
      </c>
      <c r="M26" s="8">
        <f t="shared" si="1"/>
        <v>0</v>
      </c>
    </row>
    <row r="27" spans="2:13" ht="15.75">
      <c r="B27" s="45" t="s">
        <v>211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2:13" ht="36">
      <c r="B28" s="5">
        <v>15</v>
      </c>
      <c r="C28" s="6" t="s">
        <v>29</v>
      </c>
      <c r="D28" s="6" t="s">
        <v>28</v>
      </c>
      <c r="E28" s="7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</row>
    <row r="29" spans="2:13" ht="24">
      <c r="B29" s="5">
        <v>16</v>
      </c>
      <c r="C29" s="6" t="s">
        <v>30</v>
      </c>
      <c r="D29" s="6" t="s">
        <v>31</v>
      </c>
      <c r="E29" s="7">
        <v>0.3</v>
      </c>
      <c r="F29" s="7">
        <v>4</v>
      </c>
      <c r="G29" s="8">
        <f>1783.054*E29*F29+3000</f>
        <v>5139.6648000000005</v>
      </c>
      <c r="H29" s="8">
        <f>541.6781595*E29*F29</f>
        <v>650.0137914</v>
      </c>
      <c r="I29" s="8">
        <f>0*E29*F29</f>
        <v>0</v>
      </c>
      <c r="J29" s="8">
        <f>1340.856608*E29*F29+3000</f>
        <v>4609.0279296</v>
      </c>
      <c r="K29" s="8">
        <f>70*E29*F29</f>
        <v>84</v>
      </c>
      <c r="L29" s="8">
        <f>602.3743*E29*F29</f>
        <v>722.8491599999999</v>
      </c>
      <c r="M29" s="9">
        <f>SUM(G29:L29)</f>
        <v>11205.555681</v>
      </c>
    </row>
    <row r="30" spans="2:13" ht="15.75">
      <c r="B30" s="43" t="s">
        <v>212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62"/>
    </row>
    <row r="31" spans="2:13" ht="12">
      <c r="B31" s="5">
        <v>17</v>
      </c>
      <c r="C31" s="6" t="s">
        <v>213</v>
      </c>
      <c r="D31" s="6" t="s">
        <v>40</v>
      </c>
      <c r="E31" s="7">
        <v>0</v>
      </c>
      <c r="F31" s="7">
        <v>0</v>
      </c>
      <c r="G31" s="8">
        <v>0</v>
      </c>
      <c r="H31" s="8">
        <f>0*E31*F31</f>
        <v>0</v>
      </c>
      <c r="I31" s="8">
        <f>0*E31*F31</f>
        <v>0</v>
      </c>
      <c r="J31" s="8">
        <f>0*F31*G31</f>
        <v>0</v>
      </c>
      <c r="K31" s="8">
        <f>0*E31*F31</f>
        <v>0</v>
      </c>
      <c r="L31" s="8">
        <v>0</v>
      </c>
      <c r="M31" s="9">
        <f>SUM(G31:L31)</f>
        <v>0</v>
      </c>
    </row>
    <row r="32" spans="2:13" ht="15.75">
      <c r="B32" s="43" t="s">
        <v>214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62"/>
    </row>
    <row r="33" spans="2:13" ht="36">
      <c r="B33" s="5">
        <v>18</v>
      </c>
      <c r="C33" s="6" t="s">
        <v>215</v>
      </c>
      <c r="D33" s="6" t="s">
        <v>38</v>
      </c>
      <c r="E33" s="25">
        <v>1.612</v>
      </c>
      <c r="F33" s="7">
        <v>12</v>
      </c>
      <c r="G33" s="8">
        <v>11648.2</v>
      </c>
      <c r="H33" s="8">
        <v>3344.8</v>
      </c>
      <c r="I33" s="8">
        <v>6351.8</v>
      </c>
      <c r="J33" s="8">
        <v>0</v>
      </c>
      <c r="K33" s="8">
        <v>0</v>
      </c>
      <c r="L33" s="8">
        <f>5399.79-4500</f>
        <v>899.79</v>
      </c>
      <c r="M33" s="9">
        <f>SUM(G33:L33)</f>
        <v>22244.59</v>
      </c>
    </row>
    <row r="34" spans="2:13" ht="15.75">
      <c r="B34" s="42" t="s">
        <v>216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62"/>
    </row>
    <row r="35" spans="2:13" ht="24">
      <c r="B35" s="5">
        <v>19</v>
      </c>
      <c r="C35" s="6" t="s">
        <v>32</v>
      </c>
      <c r="D35" s="6" t="s">
        <v>33</v>
      </c>
      <c r="E35" s="7">
        <v>1.612</v>
      </c>
      <c r="F35" s="7">
        <v>2</v>
      </c>
      <c r="G35" s="8">
        <f>63.06768*E35*F35+500</f>
        <v>703.33020032</v>
      </c>
      <c r="H35" s="8">
        <f>0*E35*F35</f>
        <v>0</v>
      </c>
      <c r="I35" s="8">
        <f>0*E35*F35</f>
        <v>0</v>
      </c>
      <c r="J35" s="8">
        <f>47.42689536*E35*F35+500</f>
        <v>652.90431064064</v>
      </c>
      <c r="K35" s="8">
        <f>70*E35*F35</f>
        <v>225.68</v>
      </c>
      <c r="L35" s="8">
        <f>78.380456*E35*F35</f>
        <v>252.698590144</v>
      </c>
      <c r="M35" s="9">
        <f aca="true" t="shared" si="2" ref="M35:M40">SUM(G35:L35)</f>
        <v>1834.61310110464</v>
      </c>
    </row>
    <row r="36" spans="2:13" ht="48">
      <c r="B36" s="5">
        <v>20</v>
      </c>
      <c r="C36" s="29" t="s">
        <v>225</v>
      </c>
      <c r="D36" s="6" t="s">
        <v>34</v>
      </c>
      <c r="E36" s="7">
        <v>0.629</v>
      </c>
      <c r="F36" s="7">
        <v>1</v>
      </c>
      <c r="G36" s="8">
        <v>1915.91</v>
      </c>
      <c r="H36" s="8">
        <f>0*E36*F36</f>
        <v>0</v>
      </c>
      <c r="I36" s="8">
        <v>900</v>
      </c>
      <c r="J36" s="8">
        <v>987.96</v>
      </c>
      <c r="K36" s="8">
        <v>0</v>
      </c>
      <c r="L36" s="8">
        <v>263.71</v>
      </c>
      <c r="M36" s="9">
        <f t="shared" si="2"/>
        <v>4067.58</v>
      </c>
    </row>
    <row r="37" spans="2:13" ht="54" customHeight="1">
      <c r="B37" s="5">
        <v>21</v>
      </c>
      <c r="C37" s="29" t="s">
        <v>226</v>
      </c>
      <c r="D37" s="6" t="s">
        <v>35</v>
      </c>
      <c r="E37" s="7">
        <v>0.36</v>
      </c>
      <c r="F37" s="7">
        <v>2</v>
      </c>
      <c r="G37" s="8">
        <f>10592.136*E37*F37-2000</f>
        <v>5626.33792</v>
      </c>
      <c r="H37" s="8">
        <v>2408.75</v>
      </c>
      <c r="I37" s="8">
        <f aca="true" t="shared" si="3" ref="I37:I45">0*E37*F37</f>
        <v>0</v>
      </c>
      <c r="J37" s="8">
        <f>7965.286272*E37*F37-2000</f>
        <v>3735.0061158400003</v>
      </c>
      <c r="K37" s="8">
        <v>0</v>
      </c>
      <c r="L37" s="8">
        <f>5825.6748*E37*F37-2000</f>
        <v>2194.4858559999993</v>
      </c>
      <c r="M37" s="9">
        <f t="shared" si="2"/>
        <v>13964.57989184</v>
      </c>
    </row>
    <row r="38" spans="2:13" ht="12">
      <c r="B38" s="5">
        <v>22</v>
      </c>
      <c r="C38" s="6" t="s">
        <v>36</v>
      </c>
      <c r="D38" s="6" t="s">
        <v>37</v>
      </c>
      <c r="E38" s="7">
        <v>0</v>
      </c>
      <c r="F38" s="7">
        <v>2</v>
      </c>
      <c r="G38" s="8">
        <v>0</v>
      </c>
      <c r="H38" s="8">
        <f>0*E38*F38</f>
        <v>0</v>
      </c>
      <c r="I38" s="8">
        <f t="shared" si="3"/>
        <v>0</v>
      </c>
      <c r="J38" s="8">
        <v>0</v>
      </c>
      <c r="K38" s="8">
        <f>0*E38*F38</f>
        <v>0</v>
      </c>
      <c r="L38" s="8">
        <v>0</v>
      </c>
      <c r="M38" s="9">
        <f t="shared" si="2"/>
        <v>0</v>
      </c>
    </row>
    <row r="39" spans="2:13" ht="24">
      <c r="B39" s="5">
        <v>23</v>
      </c>
      <c r="C39" s="6" t="s">
        <v>39</v>
      </c>
      <c r="D39" s="6" t="s">
        <v>38</v>
      </c>
      <c r="E39" s="7">
        <v>1.612</v>
      </c>
      <c r="F39" s="7">
        <v>2</v>
      </c>
      <c r="G39" s="8">
        <f>679.1904*E39*F39</f>
        <v>2189.7098496</v>
      </c>
      <c r="H39" s="8">
        <f>0*E39*F39</f>
        <v>0</v>
      </c>
      <c r="I39" s="8">
        <f t="shared" si="3"/>
        <v>0</v>
      </c>
      <c r="J39" s="8">
        <f>510.7511808*E39*F39</f>
        <v>1646.6618068992</v>
      </c>
      <c r="K39" s="8">
        <f>70*E39*F39</f>
        <v>225.68</v>
      </c>
      <c r="L39" s="8">
        <f>373.55472*E39*F39-600</f>
        <v>604.3404172799999</v>
      </c>
      <c r="M39" s="9">
        <f t="shared" si="2"/>
        <v>4666.3920737792</v>
      </c>
    </row>
    <row r="40" spans="2:13" ht="48">
      <c r="B40" s="5">
        <v>24</v>
      </c>
      <c r="C40" s="29" t="s">
        <v>227</v>
      </c>
      <c r="D40" s="6" t="s">
        <v>40</v>
      </c>
      <c r="E40" s="7">
        <v>1</v>
      </c>
      <c r="F40" s="7">
        <v>1</v>
      </c>
      <c r="G40" s="8">
        <f>646.848*E40*F40+2700</f>
        <v>3346.848</v>
      </c>
      <c r="H40" s="8">
        <v>1314.49</v>
      </c>
      <c r="I40" s="8">
        <f t="shared" si="3"/>
        <v>0</v>
      </c>
      <c r="J40" s="8">
        <f>486.429696*E40*F40+1320</f>
        <v>1806.429696</v>
      </c>
      <c r="K40" s="8">
        <v>0</v>
      </c>
      <c r="L40" s="8">
        <f>955.7664*E40*F40</f>
        <v>955.7664</v>
      </c>
      <c r="M40" s="9">
        <f t="shared" si="2"/>
        <v>7423.534095999999</v>
      </c>
    </row>
    <row r="41" spans="2:13" ht="24">
      <c r="B41" s="5">
        <v>25</v>
      </c>
      <c r="C41" s="6" t="s">
        <v>41</v>
      </c>
      <c r="D41" s="6" t="s">
        <v>42</v>
      </c>
      <c r="E41" s="7">
        <v>0</v>
      </c>
      <c r="F41" s="7">
        <v>1</v>
      </c>
      <c r="G41" s="8">
        <v>0</v>
      </c>
      <c r="H41" s="8">
        <f>9.605*E41*F41</f>
        <v>0</v>
      </c>
      <c r="I41" s="8">
        <f t="shared" si="3"/>
        <v>0</v>
      </c>
      <c r="J41" s="8">
        <v>0</v>
      </c>
      <c r="K41" s="8">
        <f>0*E41*F41</f>
        <v>0</v>
      </c>
      <c r="L41" s="8">
        <v>0</v>
      </c>
      <c r="M41" s="9">
        <f>SUM(G41:L41)</f>
        <v>0</v>
      </c>
    </row>
    <row r="42" spans="2:13" ht="54" customHeight="1">
      <c r="B42" s="5">
        <v>26</v>
      </c>
      <c r="C42" s="6" t="s">
        <v>248</v>
      </c>
      <c r="D42" s="6" t="s">
        <v>43</v>
      </c>
      <c r="E42" s="7">
        <v>1</v>
      </c>
      <c r="F42" s="7">
        <v>2</v>
      </c>
      <c r="G42" s="8">
        <f>28.245696*E42*F42</f>
        <v>56.491392</v>
      </c>
      <c r="H42" s="8">
        <f>0*E42*F42</f>
        <v>0</v>
      </c>
      <c r="I42" s="8">
        <f t="shared" si="3"/>
        <v>0</v>
      </c>
      <c r="J42" s="8">
        <f>21.240763392*E42*F42</f>
        <v>42.481526784</v>
      </c>
      <c r="K42" s="8">
        <v>0</v>
      </c>
      <c r="L42" s="8">
        <f>92.7105632*E42*F42</f>
        <v>185.4211264</v>
      </c>
      <c r="M42" s="9">
        <f>SUM(G42:L42)</f>
        <v>284.394045184</v>
      </c>
    </row>
    <row r="43" spans="2:13" ht="12">
      <c r="B43" s="5">
        <v>27</v>
      </c>
      <c r="C43" s="6" t="s">
        <v>44</v>
      </c>
      <c r="D43" s="6" t="s">
        <v>43</v>
      </c>
      <c r="E43" s="7">
        <v>1</v>
      </c>
      <c r="F43" s="7">
        <v>12</v>
      </c>
      <c r="G43" s="8">
        <f>16.1712*E43*F43</f>
        <v>194.0544</v>
      </c>
      <c r="H43" s="8">
        <f>0*E43*F43</f>
        <v>0</v>
      </c>
      <c r="I43" s="8">
        <f t="shared" si="3"/>
        <v>0</v>
      </c>
      <c r="J43" s="8">
        <f>12.1607424*E43*F43</f>
        <v>145.9289088</v>
      </c>
      <c r="K43" s="8">
        <v>0</v>
      </c>
      <c r="L43" s="8">
        <f>7.27704*E43*F43</f>
        <v>87.32448000000001</v>
      </c>
      <c r="M43" s="9">
        <f>SUM(G43:L43)</f>
        <v>427.30778879999997</v>
      </c>
    </row>
    <row r="44" spans="2:13" ht="54" customHeight="1">
      <c r="B44" s="5">
        <v>28</v>
      </c>
      <c r="C44" s="41" t="s">
        <v>249</v>
      </c>
      <c r="D44" s="6" t="s">
        <v>45</v>
      </c>
      <c r="E44" s="7">
        <v>1</v>
      </c>
      <c r="F44" s="7">
        <v>2</v>
      </c>
      <c r="G44" s="8">
        <f>17.65356*E44*F44</f>
        <v>35.30712</v>
      </c>
      <c r="H44" s="8">
        <f>0*E44*F44</f>
        <v>0</v>
      </c>
      <c r="I44" s="8">
        <f t="shared" si="3"/>
        <v>0</v>
      </c>
      <c r="J44" s="8">
        <f>13.27547712*E44*F44</f>
        <v>26.55095424</v>
      </c>
      <c r="K44" s="8">
        <v>0</v>
      </c>
      <c r="L44" s="8">
        <v>182.49</v>
      </c>
      <c r="M44" s="9">
        <f>SUM(G44:L44)</f>
        <v>244.34807424000002</v>
      </c>
    </row>
    <row r="45" spans="2:13" ht="16.5" customHeight="1">
      <c r="B45" s="5">
        <v>29</v>
      </c>
      <c r="C45" s="6" t="s">
        <v>44</v>
      </c>
      <c r="D45" s="6" t="s">
        <v>45</v>
      </c>
      <c r="E45" s="7">
        <v>1</v>
      </c>
      <c r="F45" s="7">
        <v>12</v>
      </c>
      <c r="G45" s="8">
        <f>16.1712*E45*F45</f>
        <v>194.0544</v>
      </c>
      <c r="H45" s="8">
        <f>0*E45*F45</f>
        <v>0</v>
      </c>
      <c r="I45" s="8">
        <f t="shared" si="3"/>
        <v>0</v>
      </c>
      <c r="J45" s="8">
        <f>12.1607424*E45*F45</f>
        <v>145.9289088</v>
      </c>
      <c r="K45" s="8">
        <v>0</v>
      </c>
      <c r="L45" s="8">
        <f>7.27704*E45*F45</f>
        <v>87.32448000000001</v>
      </c>
      <c r="M45" s="9">
        <f>SUM(G45:L45)</f>
        <v>427.30778879999997</v>
      </c>
    </row>
    <row r="46" spans="2:13" ht="18">
      <c r="B46" s="63" t="s">
        <v>217</v>
      </c>
      <c r="C46" s="57"/>
      <c r="D46" s="57"/>
      <c r="E46" s="57"/>
      <c r="F46" s="64"/>
      <c r="G46" s="64"/>
      <c r="H46" s="64"/>
      <c r="I46" s="64"/>
      <c r="J46" s="64"/>
      <c r="K46" s="64"/>
      <c r="L46" s="64"/>
      <c r="M46" s="65"/>
    </row>
    <row r="47" spans="2:13" ht="75.75" customHeight="1">
      <c r="B47" s="5">
        <v>32</v>
      </c>
      <c r="C47" s="41" t="s">
        <v>235</v>
      </c>
      <c r="D47" s="6" t="s">
        <v>33</v>
      </c>
      <c r="E47" s="25">
        <v>1.615</v>
      </c>
      <c r="F47" s="26">
        <v>365</v>
      </c>
      <c r="G47" s="27">
        <v>8642.88</v>
      </c>
      <c r="H47" s="27">
        <f>5*E47*F47</f>
        <v>2947.3749999999995</v>
      </c>
      <c r="I47" s="27">
        <f>0*E47*F47</f>
        <v>0</v>
      </c>
      <c r="J47" s="27">
        <f>G47*45%+2000</f>
        <v>5889.296</v>
      </c>
      <c r="K47" s="8">
        <f>3*E47*F47+1000</f>
        <v>2768.425</v>
      </c>
      <c r="L47" s="27">
        <f>G47*60%</f>
        <v>5185.727999999999</v>
      </c>
      <c r="M47" s="27">
        <f>SUM(G47:L47)</f>
        <v>25433.703999999998</v>
      </c>
    </row>
    <row r="48" spans="2:13" ht="18">
      <c r="B48" s="63" t="s">
        <v>219</v>
      </c>
      <c r="C48" s="66"/>
      <c r="D48" s="66"/>
      <c r="E48" s="66"/>
      <c r="F48" s="67"/>
      <c r="G48" s="67"/>
      <c r="H48" s="67"/>
      <c r="I48" s="67"/>
      <c r="J48" s="67"/>
      <c r="K48" s="67"/>
      <c r="L48" s="67"/>
      <c r="M48" s="68"/>
    </row>
    <row r="49" spans="2:13" ht="24">
      <c r="B49" s="5">
        <v>33</v>
      </c>
      <c r="C49" s="6" t="s">
        <v>228</v>
      </c>
      <c r="D49" s="6" t="s">
        <v>46</v>
      </c>
      <c r="E49" s="7">
        <v>0</v>
      </c>
      <c r="F49" s="7">
        <v>2</v>
      </c>
      <c r="G49" s="8">
        <f>56.307219510372*E49*F49</f>
        <v>0</v>
      </c>
      <c r="H49" s="8">
        <f>56.307219510372*F49*G49</f>
        <v>0</v>
      </c>
      <c r="I49" s="8">
        <f>56.307219510372*G49*H49</f>
        <v>0</v>
      </c>
      <c r="J49" s="8">
        <f>56.307219510372*H49*I49</f>
        <v>0</v>
      </c>
      <c r="K49" s="8">
        <f>56.307219510372*I49*J49</f>
        <v>0</v>
      </c>
      <c r="L49" s="8">
        <f>25.338248779667*E49*F49</f>
        <v>0</v>
      </c>
      <c r="M49" s="9">
        <f>SUM(G49:L49)</f>
        <v>0</v>
      </c>
    </row>
    <row r="50" spans="2:13" ht="35.25" customHeight="1">
      <c r="B50" s="5">
        <v>34</v>
      </c>
      <c r="C50" s="6" t="s">
        <v>236</v>
      </c>
      <c r="D50" s="6" t="s">
        <v>47</v>
      </c>
      <c r="E50" s="7">
        <v>0.3</v>
      </c>
      <c r="F50" s="7">
        <v>26</v>
      </c>
      <c r="G50" s="8">
        <f>246.6108*E50*F50+500</f>
        <v>2423.5642399999997</v>
      </c>
      <c r="H50" s="8">
        <f>7.525965*E50*F50+1200</f>
        <v>1258.702527</v>
      </c>
      <c r="I50" s="8">
        <f aca="true" t="shared" si="4" ref="I50:I59">0*E50*F50</f>
        <v>0</v>
      </c>
      <c r="J50" s="8">
        <f>185.4513216*E50*F50-500</f>
        <v>946.52030848</v>
      </c>
      <c r="K50" s="8">
        <v>0</v>
      </c>
      <c r="L50" s="8">
        <f>135.63594*E50*F50-500</f>
        <v>557.9603319999999</v>
      </c>
      <c r="M50" s="9">
        <f aca="true" t="shared" si="5" ref="M50:M59">SUM(G50:L50)</f>
        <v>5186.747407479999</v>
      </c>
    </row>
    <row r="51" spans="2:13" ht="12">
      <c r="B51" s="5">
        <v>35</v>
      </c>
      <c r="C51" s="6" t="s">
        <v>48</v>
      </c>
      <c r="D51" s="6" t="s">
        <v>49</v>
      </c>
      <c r="E51" s="7">
        <v>0</v>
      </c>
      <c r="F51" s="7">
        <v>52</v>
      </c>
      <c r="G51" s="8">
        <f>1071.342*E51*F51</f>
        <v>0</v>
      </c>
      <c r="H51" s="8">
        <f>1071.342*F51*G51</f>
        <v>0</v>
      </c>
      <c r="I51" s="8">
        <f>1071.342*G51*H51</f>
        <v>0</v>
      </c>
      <c r="J51" s="8">
        <f>1071.342*H51*I51</f>
        <v>0</v>
      </c>
      <c r="K51" s="8">
        <v>0</v>
      </c>
      <c r="L51" s="8">
        <f>589.2381*E51*F51</f>
        <v>0</v>
      </c>
      <c r="M51" s="9">
        <f t="shared" si="5"/>
        <v>0</v>
      </c>
    </row>
    <row r="52" spans="2:13" ht="36">
      <c r="B52" s="5">
        <v>36</v>
      </c>
      <c r="C52" s="6" t="s">
        <v>237</v>
      </c>
      <c r="D52" s="6" t="s">
        <v>50</v>
      </c>
      <c r="E52" s="7">
        <v>0.03</v>
      </c>
      <c r="F52" s="7">
        <v>26</v>
      </c>
      <c r="G52" s="8">
        <f>3817.7508*E52*F52</f>
        <v>2977.845624</v>
      </c>
      <c r="H52" s="8">
        <f>72.813921*E52*F52+600</f>
        <v>656.7948583799999</v>
      </c>
      <c r="I52" s="8">
        <f t="shared" si="4"/>
        <v>0</v>
      </c>
      <c r="J52" s="8">
        <f>2870.9486016*E52*F52-500</f>
        <v>1739.339909248</v>
      </c>
      <c r="K52" s="8">
        <v>0</v>
      </c>
      <c r="L52" s="8">
        <f>1099.76294*E52*F52</f>
        <v>857.8150932000001</v>
      </c>
      <c r="M52" s="9">
        <f t="shared" si="5"/>
        <v>6231.795484828</v>
      </c>
    </row>
    <row r="53" spans="2:13" ht="36">
      <c r="B53" s="5">
        <v>37</v>
      </c>
      <c r="C53" s="6" t="s">
        <v>238</v>
      </c>
      <c r="D53" s="6" t="s">
        <v>50</v>
      </c>
      <c r="E53" s="7">
        <v>0.03</v>
      </c>
      <c r="F53" s="7">
        <v>6</v>
      </c>
      <c r="G53" s="8">
        <f>16619.9508*E53*F53+500</f>
        <v>3491.5911439999995</v>
      </c>
      <c r="H53" s="8">
        <f>258.31476*E53*F53+400</f>
        <v>446.4966568</v>
      </c>
      <c r="I53" s="8">
        <f t="shared" si="4"/>
        <v>0</v>
      </c>
      <c r="J53" s="8">
        <f>12498.2030016*E53*F53-200</f>
        <v>2049.676540288</v>
      </c>
      <c r="K53" s="8">
        <v>0</v>
      </c>
      <c r="L53" s="8">
        <f>5140.97294*E53*F53-37.03</f>
        <v>888.3451292</v>
      </c>
      <c r="M53" s="9">
        <f t="shared" si="5"/>
        <v>6876.109470287999</v>
      </c>
    </row>
    <row r="54" spans="2:13" ht="24">
      <c r="B54" s="5">
        <v>38</v>
      </c>
      <c r="C54" s="6" t="s">
        <v>51</v>
      </c>
      <c r="D54" s="6" t="s">
        <v>13</v>
      </c>
      <c r="E54" s="7">
        <v>0.135</v>
      </c>
      <c r="F54" s="7">
        <v>26</v>
      </c>
      <c r="G54" s="8">
        <f>185.9688*E54*F54</f>
        <v>652.750488</v>
      </c>
      <c r="H54" s="8">
        <f>0.72664797*E54*F54+120</f>
        <v>122.5505343747</v>
      </c>
      <c r="I54" s="8">
        <f t="shared" si="4"/>
        <v>0</v>
      </c>
      <c r="J54" s="8">
        <f>139.8485376*E54*F54</f>
        <v>490.86836697599995</v>
      </c>
      <c r="K54" s="8">
        <v>0</v>
      </c>
      <c r="L54" s="8">
        <f>102.28284*E54*F54</f>
        <v>359.0127684</v>
      </c>
      <c r="M54" s="9">
        <f t="shared" si="5"/>
        <v>1625.1821577506998</v>
      </c>
    </row>
    <row r="55" spans="2:13" ht="24">
      <c r="B55" s="5">
        <v>39</v>
      </c>
      <c r="C55" s="6" t="s">
        <v>52</v>
      </c>
      <c r="D55" s="6" t="s">
        <v>13</v>
      </c>
      <c r="E55" s="7">
        <v>0.135</v>
      </c>
      <c r="F55" s="7">
        <v>26</v>
      </c>
      <c r="G55" s="8">
        <f>34.3638*E55*F55+300</f>
        <v>420.616938</v>
      </c>
      <c r="H55" s="8">
        <f>0.3472164*E55*F55+111</f>
        <v>112.218729564</v>
      </c>
      <c r="I55" s="8">
        <f t="shared" si="4"/>
        <v>0</v>
      </c>
      <c r="J55" s="8">
        <f>25.8415776*E55*F55</f>
        <v>90.703937376</v>
      </c>
      <c r="K55" s="8">
        <v>0</v>
      </c>
      <c r="L55" s="8">
        <f>18.90009*E55*F55+300</f>
        <v>366.3393159</v>
      </c>
      <c r="M55" s="9">
        <f t="shared" si="5"/>
        <v>989.87892084</v>
      </c>
    </row>
    <row r="56" spans="2:13" ht="37.5" customHeight="1">
      <c r="B56" s="5">
        <v>40</v>
      </c>
      <c r="C56" s="6" t="s">
        <v>240</v>
      </c>
      <c r="D56" s="6" t="s">
        <v>239</v>
      </c>
      <c r="E56" s="7">
        <v>2.124</v>
      </c>
      <c r="F56" s="7">
        <v>26</v>
      </c>
      <c r="G56" s="8">
        <f>330.4989*E56*F56+4800</f>
        <v>23051.4712536</v>
      </c>
      <c r="H56" s="8">
        <f>56.272187120804*E56*F56-2000</f>
        <v>1107.57526155928</v>
      </c>
      <c r="I56" s="8">
        <f>0*E56*F56</f>
        <v>0</v>
      </c>
      <c r="J56" s="8">
        <f>248.5351728*E56*F56-6100</f>
        <v>7625.106382707199</v>
      </c>
      <c r="K56" s="8">
        <v>0</v>
      </c>
      <c r="L56" s="8">
        <f>G56*3%</f>
        <v>691.544137608</v>
      </c>
      <c r="M56" s="9">
        <f>SUM(G56:L56)</f>
        <v>32475.69703547448</v>
      </c>
    </row>
    <row r="57" spans="2:13" ht="36">
      <c r="B57" s="5">
        <v>34</v>
      </c>
      <c r="C57" s="6" t="s">
        <v>241</v>
      </c>
      <c r="D57" s="6" t="s">
        <v>239</v>
      </c>
      <c r="E57" s="7">
        <v>2.124</v>
      </c>
      <c r="F57" s="7">
        <v>26</v>
      </c>
      <c r="G57" s="8">
        <f>144.44025951037*E57*F57</f>
        <v>7976.5688912006735</v>
      </c>
      <c r="H57" s="8">
        <f>2.366275829077*E57*F57</f>
        <v>130.67521638494824</v>
      </c>
      <c r="I57" s="8">
        <f>0*E57*F57</f>
        <v>0</v>
      </c>
      <c r="J57" s="8">
        <f>108.6190751518*E57*F57</f>
        <v>5998.379806183004</v>
      </c>
      <c r="K57" s="8">
        <v>0</v>
      </c>
      <c r="L57" s="8">
        <f>79.442142730705*E57*F57-1000</f>
        <v>3387.1128901604534</v>
      </c>
      <c r="M57" s="9">
        <f>SUM(G57:L57)</f>
        <v>17492.736803929078</v>
      </c>
    </row>
    <row r="58" spans="2:13" ht="12">
      <c r="B58" s="5">
        <v>40</v>
      </c>
      <c r="C58" s="6" t="s">
        <v>53</v>
      </c>
      <c r="D58" s="6" t="s">
        <v>13</v>
      </c>
      <c r="E58" s="7">
        <v>0</v>
      </c>
      <c r="F58" s="7">
        <v>26</v>
      </c>
      <c r="G58" s="8">
        <f>808.56*E58*F58</f>
        <v>0</v>
      </c>
      <c r="H58" s="8">
        <f>2.58546702*E58*F58</f>
        <v>0</v>
      </c>
      <c r="I58" s="8">
        <f t="shared" si="4"/>
        <v>0</v>
      </c>
      <c r="J58" s="8">
        <f>608.03712*E58*F58</f>
        <v>0</v>
      </c>
      <c r="K58" s="8">
        <v>0</v>
      </c>
      <c r="L58" s="8">
        <f>444.708*E58*F58</f>
        <v>0</v>
      </c>
      <c r="M58" s="9">
        <f t="shared" si="5"/>
        <v>0</v>
      </c>
    </row>
    <row r="59" spans="2:13" ht="12">
      <c r="B59" s="5">
        <v>41</v>
      </c>
      <c r="C59" s="6" t="s">
        <v>54</v>
      </c>
      <c r="D59" s="6" t="s">
        <v>55</v>
      </c>
      <c r="E59" s="7">
        <v>0</v>
      </c>
      <c r="F59" s="7">
        <v>52</v>
      </c>
      <c r="G59" s="8">
        <f>327.4668*E59*F59</f>
        <v>0</v>
      </c>
      <c r="H59" s="8">
        <f>1.48608*E59*F59</f>
        <v>0</v>
      </c>
      <c r="I59" s="8">
        <f t="shared" si="4"/>
        <v>0</v>
      </c>
      <c r="J59" s="8">
        <f>246.2550336*E59*F59</f>
        <v>0</v>
      </c>
      <c r="K59" s="8">
        <f>0*E59*F59</f>
        <v>0</v>
      </c>
      <c r="L59" s="8">
        <f>180.10674*E59*F59</f>
        <v>0</v>
      </c>
      <c r="M59" s="9">
        <f t="shared" si="5"/>
        <v>0</v>
      </c>
    </row>
    <row r="60" spans="2:13" ht="36">
      <c r="B60" s="5">
        <v>42</v>
      </c>
      <c r="C60" s="30" t="s">
        <v>229</v>
      </c>
      <c r="D60" s="31" t="s">
        <v>230</v>
      </c>
      <c r="E60" s="32">
        <v>0</v>
      </c>
      <c r="F60" s="33">
        <v>52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f>G60*2%</f>
        <v>0</v>
      </c>
      <c r="M60" s="35">
        <f>SUM(G60:L60)</f>
        <v>0</v>
      </c>
    </row>
    <row r="61" spans="2:13" ht="36.75" thickBot="1">
      <c r="B61" s="5">
        <v>43</v>
      </c>
      <c r="C61" s="37" t="s">
        <v>231</v>
      </c>
      <c r="D61" s="38" t="s">
        <v>47</v>
      </c>
      <c r="E61" s="26"/>
      <c r="F61" s="26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f>SUM(G61:L61)</f>
        <v>0</v>
      </c>
    </row>
    <row r="62" spans="2:13" ht="21" customHeight="1" thickBot="1">
      <c r="B62" s="54" t="s">
        <v>56</v>
      </c>
      <c r="C62" s="55"/>
      <c r="D62" s="55"/>
      <c r="E62" s="55"/>
      <c r="F62" s="55"/>
      <c r="G62" s="36">
        <f>G6+G7+G8+G9+G11+G13+G15+G16+G18+G19+G20+G23+G24+G26+G28+G29+G31+G33+G35+G36+G37+G38+G39+G40+G41+G42+G43+G44+G45+G47+G49+G50+G51+G52+G53+G54+G55+G56+G57+G58+G59+G60+G61</f>
        <v>92959.72942104068</v>
      </c>
      <c r="H62" s="36">
        <f aca="true" t="shared" si="6" ref="H62:M62">H6+H7+H8+H9+H11+H13+H15+H16+H18+H19+H20+H23+H24+H26+H28+H29+H31+H33+H35+H36+H37+H38+H39+H40+H41+H42+H43+H44+H45+H47+H49+H50+H51+H52+H53+H54+H55+H56+H57+H58+H59+H60+H61</f>
        <v>21290.935377112924</v>
      </c>
      <c r="I62" s="36">
        <f t="shared" si="6"/>
        <v>7251.8</v>
      </c>
      <c r="J62" s="36">
        <f t="shared" si="6"/>
        <v>45329.43111662268</v>
      </c>
      <c r="K62" s="36">
        <f t="shared" si="6"/>
        <v>3303.7850000000003</v>
      </c>
      <c r="L62" s="36">
        <f t="shared" si="6"/>
        <v>20427.349338468455</v>
      </c>
      <c r="M62" s="36">
        <f t="shared" si="6"/>
        <v>190563.03025324477</v>
      </c>
    </row>
    <row r="63" ht="12">
      <c r="M63" s="24"/>
    </row>
    <row r="64" spans="7:13" ht="17.25" customHeight="1">
      <c r="G64" s="24"/>
      <c r="H64" s="24"/>
      <c r="I64" s="24"/>
      <c r="J64" s="24"/>
      <c r="K64" s="24"/>
      <c r="L64" s="24"/>
      <c r="M64" s="24"/>
    </row>
    <row r="65" spans="7:12" ht="12">
      <c r="G65" s="24"/>
      <c r="H65" s="24"/>
      <c r="I65" s="24"/>
      <c r="J65" s="24"/>
      <c r="K65" s="24"/>
      <c r="L65" s="24"/>
    </row>
    <row r="66" spans="4:11" ht="18">
      <c r="D66" s="71" t="s">
        <v>57</v>
      </c>
      <c r="E66" s="71"/>
      <c r="F66" s="71"/>
      <c r="G66" s="71"/>
      <c r="H66" s="71"/>
      <c r="I66" s="71"/>
      <c r="J66" s="71"/>
      <c r="K66" s="71"/>
    </row>
    <row r="67" spans="4:11" ht="15">
      <c r="D67" s="13" t="s">
        <v>58</v>
      </c>
      <c r="E67" s="70">
        <f>G62</f>
        <v>92959.72942104068</v>
      </c>
      <c r="F67" s="70"/>
      <c r="G67" s="12"/>
      <c r="H67" s="12"/>
      <c r="I67" s="13" t="s">
        <v>59</v>
      </c>
      <c r="J67" s="70">
        <f>J62</f>
        <v>45329.43111662268</v>
      </c>
      <c r="K67" s="70"/>
    </row>
    <row r="68" spans="4:11" ht="15">
      <c r="D68" s="13" t="s">
        <v>60</v>
      </c>
      <c r="E68" s="70">
        <f>H62</f>
        <v>21290.935377112924</v>
      </c>
      <c r="F68" s="70"/>
      <c r="G68" s="12"/>
      <c r="H68" s="12"/>
      <c r="I68" s="13" t="s">
        <v>61</v>
      </c>
      <c r="J68" s="70">
        <f>K62</f>
        <v>3303.7850000000003</v>
      </c>
      <c r="K68" s="70"/>
    </row>
    <row r="69" spans="4:11" ht="15">
      <c r="D69" s="13" t="s">
        <v>62</v>
      </c>
      <c r="E69" s="70">
        <f>I62</f>
        <v>7251.8</v>
      </c>
      <c r="F69" s="70"/>
      <c r="G69" s="12"/>
      <c r="H69" s="12"/>
      <c r="I69" s="13" t="s">
        <v>63</v>
      </c>
      <c r="J69" s="70">
        <f>L62</f>
        <v>20427.349338468455</v>
      </c>
      <c r="K69" s="70"/>
    </row>
    <row r="70" spans="4:11" ht="15">
      <c r="D70" s="13"/>
      <c r="E70" s="12"/>
      <c r="F70" s="12"/>
      <c r="G70" s="12"/>
      <c r="H70" s="12"/>
      <c r="I70" s="13" t="s">
        <v>64</v>
      </c>
      <c r="J70" s="70">
        <f>M62</f>
        <v>190563.03025324477</v>
      </c>
      <c r="K70" s="70"/>
    </row>
    <row r="71" spans="8:11" ht="15">
      <c r="H71" s="73" t="s">
        <v>246</v>
      </c>
      <c r="I71" s="73"/>
      <c r="J71" s="73"/>
      <c r="K71" s="21">
        <v>1399.7</v>
      </c>
    </row>
    <row r="72" spans="8:11" ht="15">
      <c r="H72" s="73" t="s">
        <v>200</v>
      </c>
      <c r="I72" s="73"/>
      <c r="J72" s="73"/>
      <c r="K72" s="79">
        <f>J70/K71/12</f>
        <v>11.34546868693558</v>
      </c>
    </row>
    <row r="74" spans="2:6" ht="12.75">
      <c r="B74" s="22" t="s">
        <v>201</v>
      </c>
      <c r="C74" s="22"/>
      <c r="D74" s="22"/>
      <c r="E74" s="22"/>
      <c r="F74" s="22" t="s">
        <v>202</v>
      </c>
    </row>
    <row r="75" spans="2:6" ht="12.75">
      <c r="B75" s="22"/>
      <c r="C75" s="22"/>
      <c r="D75" s="22"/>
      <c r="E75" s="22"/>
      <c r="F75" s="22"/>
    </row>
    <row r="76" spans="2:13" ht="12.75">
      <c r="B76" s="69" t="s">
        <v>242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0" ht="35.25" customHeight="1">
      <c r="B77" s="69" t="s">
        <v>244</v>
      </c>
      <c r="C77" s="69"/>
      <c r="D77" s="69"/>
      <c r="E77" s="69"/>
      <c r="F77" s="69"/>
      <c r="G77" s="69"/>
      <c r="H77" s="69"/>
      <c r="I77" s="69"/>
      <c r="J77" s="69"/>
    </row>
    <row r="78" spans="2:10" ht="12.75">
      <c r="B78" s="72" t="s">
        <v>243</v>
      </c>
      <c r="C78" s="72"/>
      <c r="D78" s="72"/>
      <c r="E78" s="72"/>
      <c r="F78" s="72"/>
      <c r="G78" s="72"/>
      <c r="H78" s="72"/>
      <c r="I78" s="72"/>
      <c r="J78" s="23"/>
    </row>
    <row r="80" spans="7:10" ht="12">
      <c r="G80" s="24"/>
      <c r="H80" s="24"/>
      <c r="I80" s="24"/>
      <c r="J80" s="24"/>
    </row>
    <row r="81" spans="7:10" ht="12">
      <c r="G81" s="24"/>
      <c r="H81" s="24"/>
      <c r="I81" s="24"/>
      <c r="J81" s="24"/>
    </row>
    <row r="82" spans="7:10" ht="12">
      <c r="G82" s="24"/>
      <c r="J82" s="24"/>
    </row>
  </sheetData>
  <sheetProtection formatCells="0" formatColumns="0" formatRows="0" insertColumns="0" insertRows="0" insertHyperlinks="0" deleteColumns="0" deleteRows="0" sort="0" autoFilter="0" pivotTables="0"/>
  <mergeCells count="31">
    <mergeCell ref="B14:M14"/>
    <mergeCell ref="H71:J71"/>
    <mergeCell ref="B32:M32"/>
    <mergeCell ref="H72:J72"/>
    <mergeCell ref="B25:M25"/>
    <mergeCell ref="D66:K66"/>
    <mergeCell ref="B78:I78"/>
    <mergeCell ref="E68:F68"/>
    <mergeCell ref="J68:K68"/>
    <mergeCell ref="E69:F69"/>
    <mergeCell ref="J69:K69"/>
    <mergeCell ref="B34:M34"/>
    <mergeCell ref="B46:M46"/>
    <mergeCell ref="B48:M48"/>
    <mergeCell ref="B77:J77"/>
    <mergeCell ref="B76:M76"/>
    <mergeCell ref="B21:M21"/>
    <mergeCell ref="E67:F67"/>
    <mergeCell ref="J67:K67"/>
    <mergeCell ref="B30:M30"/>
    <mergeCell ref="J70:K70"/>
    <mergeCell ref="A17:L17"/>
    <mergeCell ref="B22:M22"/>
    <mergeCell ref="B27:M27"/>
    <mergeCell ref="B1:M1"/>
    <mergeCell ref="B2:M2"/>
    <mergeCell ref="B62:F62"/>
    <mergeCell ref="B4:M4"/>
    <mergeCell ref="B5:M5"/>
    <mergeCell ref="B10:M10"/>
    <mergeCell ref="B12:M12"/>
  </mergeCells>
  <printOptions/>
  <pageMargins left="0.35" right="0.35" top="0.35" bottom="0.35" header="0.3" footer="0.3"/>
  <pageSetup fitToHeight="0" fitToWidth="1" horizontalDpi="600" verticalDpi="600" orientation="landscape" paperSize="9" scale="83" r:id="rId3"/>
  <headerFooter alignWithMargins="0">
    <oddFooter>&amp;C- &amp;P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PageLayoutView="0" workbookViewId="0" topLeftCell="B1">
      <selection activeCell="B123" sqref="B123:G123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78" t="s">
        <v>65</v>
      </c>
      <c r="C1" s="78"/>
      <c r="D1" s="78"/>
      <c r="E1" s="78"/>
      <c r="F1" s="78"/>
      <c r="G1" s="78"/>
    </row>
    <row r="3" spans="1:7" ht="27">
      <c r="A3" s="1"/>
      <c r="B3" s="2" t="s">
        <v>0</v>
      </c>
      <c r="C3" s="2" t="s">
        <v>66</v>
      </c>
      <c r="D3" s="3" t="s">
        <v>67</v>
      </c>
      <c r="E3" s="3" t="s">
        <v>3</v>
      </c>
      <c r="F3" s="3" t="s">
        <v>68</v>
      </c>
      <c r="G3" s="4" t="s">
        <v>10</v>
      </c>
    </row>
    <row r="4" spans="2:7" ht="15">
      <c r="B4" s="77" t="s">
        <v>69</v>
      </c>
      <c r="C4" s="77"/>
      <c r="D4" s="77"/>
      <c r="E4" s="77"/>
      <c r="F4" s="77"/>
      <c r="G4" s="77"/>
    </row>
    <row r="5" spans="2:7" ht="12">
      <c r="B5" s="14">
        <v>1</v>
      </c>
      <c r="C5" s="15" t="s">
        <v>70</v>
      </c>
      <c r="D5" s="15" t="s">
        <v>71</v>
      </c>
      <c r="E5" s="16">
        <v>2.85</v>
      </c>
      <c r="F5" s="17">
        <v>161.712</v>
      </c>
      <c r="G5" s="20">
        <f aca="true" t="shared" si="0" ref="G5:G33">E5*F5</f>
        <v>460.87919999999997</v>
      </c>
    </row>
    <row r="6" spans="2:7" ht="12">
      <c r="B6" s="5">
        <v>2</v>
      </c>
      <c r="C6" s="6" t="s">
        <v>72</v>
      </c>
      <c r="D6" s="6" t="s">
        <v>71</v>
      </c>
      <c r="E6" s="18">
        <v>134.73462</v>
      </c>
      <c r="F6" s="8">
        <v>134.76</v>
      </c>
      <c r="G6" s="9">
        <f t="shared" si="0"/>
        <v>18156.8373912</v>
      </c>
    </row>
    <row r="7" spans="2:7" ht="12">
      <c r="B7" s="5">
        <v>3</v>
      </c>
      <c r="C7" s="6" t="s">
        <v>73</v>
      </c>
      <c r="D7" s="6" t="s">
        <v>71</v>
      </c>
      <c r="E7" s="18">
        <v>3.69474</v>
      </c>
      <c r="F7" s="8">
        <v>161.712</v>
      </c>
      <c r="G7" s="9">
        <f t="shared" si="0"/>
        <v>597.4837948799999</v>
      </c>
    </row>
    <row r="8" spans="2:7" ht="12">
      <c r="B8" s="5">
        <v>4</v>
      </c>
      <c r="C8" s="6" t="s">
        <v>74</v>
      </c>
      <c r="D8" s="6" t="s">
        <v>71</v>
      </c>
      <c r="E8" s="18">
        <v>19.35</v>
      </c>
      <c r="F8" s="8">
        <v>146.8884</v>
      </c>
      <c r="G8" s="9">
        <f t="shared" si="0"/>
        <v>2842.29054</v>
      </c>
    </row>
    <row r="9" spans="2:7" ht="12">
      <c r="B9" s="5">
        <v>5</v>
      </c>
      <c r="C9" s="6" t="s">
        <v>75</v>
      </c>
      <c r="D9" s="6" t="s">
        <v>71</v>
      </c>
      <c r="E9" s="18">
        <v>19.35</v>
      </c>
      <c r="F9" s="19">
        <v>0.01</v>
      </c>
      <c r="G9" s="9">
        <f t="shared" si="0"/>
        <v>0.1935</v>
      </c>
    </row>
    <row r="10" spans="2:7" ht="12">
      <c r="B10" s="5">
        <v>6</v>
      </c>
      <c r="C10" s="6" t="s">
        <v>76</v>
      </c>
      <c r="D10" s="6" t="s">
        <v>71</v>
      </c>
      <c r="E10" s="18">
        <v>0.468</v>
      </c>
      <c r="F10" s="8">
        <v>161.712</v>
      </c>
      <c r="G10" s="9">
        <f t="shared" si="0"/>
        <v>75.681216</v>
      </c>
    </row>
    <row r="11" spans="2:7" ht="12">
      <c r="B11" s="5">
        <v>7</v>
      </c>
      <c r="C11" s="6" t="s">
        <v>77</v>
      </c>
      <c r="D11" s="6" t="s">
        <v>71</v>
      </c>
      <c r="E11" s="18">
        <v>0.5872</v>
      </c>
      <c r="F11" s="19">
        <v>0.01</v>
      </c>
      <c r="G11" s="9">
        <f t="shared" si="0"/>
        <v>0.0058720000000000005</v>
      </c>
    </row>
    <row r="12" spans="2:7" ht="12">
      <c r="B12" s="5">
        <v>8</v>
      </c>
      <c r="C12" s="6" t="s">
        <v>78</v>
      </c>
      <c r="D12" s="6" t="s">
        <v>71</v>
      </c>
      <c r="E12" s="18">
        <v>5.2848</v>
      </c>
      <c r="F12" s="8">
        <v>190.0116</v>
      </c>
      <c r="G12" s="9">
        <f t="shared" si="0"/>
        <v>1004.1733036799999</v>
      </c>
    </row>
    <row r="13" spans="2:7" ht="24">
      <c r="B13" s="5">
        <v>9</v>
      </c>
      <c r="C13" s="6" t="s">
        <v>79</v>
      </c>
      <c r="D13" s="6" t="s">
        <v>71</v>
      </c>
      <c r="E13" s="18">
        <v>2.1805</v>
      </c>
      <c r="F13" s="8">
        <v>146.8884</v>
      </c>
      <c r="G13" s="9">
        <f t="shared" si="0"/>
        <v>320.29015619999996</v>
      </c>
    </row>
    <row r="14" spans="2:7" ht="24">
      <c r="B14" s="5">
        <v>10</v>
      </c>
      <c r="C14" s="6" t="s">
        <v>80</v>
      </c>
      <c r="D14" s="6" t="s">
        <v>71</v>
      </c>
      <c r="E14" s="18">
        <v>2.1805</v>
      </c>
      <c r="F14" s="8">
        <v>161.712</v>
      </c>
      <c r="G14" s="9">
        <f t="shared" si="0"/>
        <v>352.61301599999996</v>
      </c>
    </row>
    <row r="15" spans="2:7" ht="24">
      <c r="B15" s="5">
        <v>11</v>
      </c>
      <c r="C15" s="6" t="s">
        <v>81</v>
      </c>
      <c r="D15" s="6" t="s">
        <v>71</v>
      </c>
      <c r="E15" s="18">
        <v>3.12</v>
      </c>
      <c r="F15" s="8">
        <v>176.5356</v>
      </c>
      <c r="G15" s="9">
        <f t="shared" si="0"/>
        <v>550.791072</v>
      </c>
    </row>
    <row r="16" spans="2:7" ht="12">
      <c r="B16" s="5">
        <v>12</v>
      </c>
      <c r="C16" s="6" t="s">
        <v>82</v>
      </c>
      <c r="D16" s="6" t="s">
        <v>71</v>
      </c>
      <c r="E16" s="18">
        <v>30.4815625</v>
      </c>
      <c r="F16" s="8">
        <v>146.8884</v>
      </c>
      <c r="G16" s="9">
        <f t="shared" si="0"/>
        <v>4477.3879451249995</v>
      </c>
    </row>
    <row r="17" spans="2:7" ht="12">
      <c r="B17" s="5">
        <v>13</v>
      </c>
      <c r="C17" s="6" t="s">
        <v>83</v>
      </c>
      <c r="D17" s="6" t="s">
        <v>71</v>
      </c>
      <c r="E17" s="18">
        <v>19.456</v>
      </c>
      <c r="F17" s="19">
        <v>0.01</v>
      </c>
      <c r="G17" s="9">
        <f t="shared" si="0"/>
        <v>0.19456</v>
      </c>
    </row>
    <row r="18" spans="2:7" ht="12">
      <c r="B18" s="5">
        <v>14</v>
      </c>
      <c r="C18" s="6" t="s">
        <v>84</v>
      </c>
      <c r="D18" s="6" t="s">
        <v>71</v>
      </c>
      <c r="E18" s="18">
        <v>11.6216875</v>
      </c>
      <c r="F18" s="8">
        <v>176.5356</v>
      </c>
      <c r="G18" s="9">
        <f t="shared" si="0"/>
        <v>2051.641575825</v>
      </c>
    </row>
    <row r="19" spans="2:7" ht="12">
      <c r="B19" s="5">
        <v>15</v>
      </c>
      <c r="C19" s="6" t="s">
        <v>85</v>
      </c>
      <c r="D19" s="6" t="s">
        <v>71</v>
      </c>
      <c r="E19" s="18">
        <v>4.12</v>
      </c>
      <c r="F19" s="8">
        <v>161.712</v>
      </c>
      <c r="G19" s="9">
        <f t="shared" si="0"/>
        <v>666.25344</v>
      </c>
    </row>
    <row r="20" spans="2:7" ht="12">
      <c r="B20" s="5">
        <v>16</v>
      </c>
      <c r="C20" s="6" t="s">
        <v>86</v>
      </c>
      <c r="D20" s="6" t="s">
        <v>71</v>
      </c>
      <c r="E20" s="18">
        <v>1.58</v>
      </c>
      <c r="F20" s="8">
        <v>176.5356</v>
      </c>
      <c r="G20" s="9">
        <f t="shared" si="0"/>
        <v>278.926248</v>
      </c>
    </row>
    <row r="21" spans="2:7" ht="12">
      <c r="B21" s="5">
        <v>17</v>
      </c>
      <c r="C21" s="6" t="s">
        <v>87</v>
      </c>
      <c r="D21" s="6" t="s">
        <v>71</v>
      </c>
      <c r="E21" s="18">
        <v>3.0744</v>
      </c>
      <c r="F21" s="8">
        <v>161.712</v>
      </c>
      <c r="G21" s="9">
        <f t="shared" si="0"/>
        <v>497.16737279999995</v>
      </c>
    </row>
    <row r="22" spans="2:7" ht="24">
      <c r="B22" s="5">
        <v>18</v>
      </c>
      <c r="C22" s="6" t="s">
        <v>88</v>
      </c>
      <c r="D22" s="6" t="s">
        <v>71</v>
      </c>
      <c r="E22" s="18">
        <v>3.55579997</v>
      </c>
      <c r="F22" s="8">
        <v>146.8884</v>
      </c>
      <c r="G22" s="9">
        <f t="shared" si="0"/>
        <v>522.3057683133479</v>
      </c>
    </row>
    <row r="23" spans="2:7" ht="24">
      <c r="B23" s="5">
        <v>19</v>
      </c>
      <c r="C23" s="6" t="s">
        <v>89</v>
      </c>
      <c r="D23" s="6" t="s">
        <v>71</v>
      </c>
      <c r="E23" s="18">
        <v>0</v>
      </c>
      <c r="F23" s="8">
        <v>161.712</v>
      </c>
      <c r="G23" s="9">
        <f t="shared" si="0"/>
        <v>0</v>
      </c>
    </row>
    <row r="24" spans="2:7" ht="12">
      <c r="B24" s="5">
        <v>20</v>
      </c>
      <c r="C24" s="6" t="s">
        <v>90</v>
      </c>
      <c r="D24" s="6" t="s">
        <v>71</v>
      </c>
      <c r="E24" s="18">
        <v>14</v>
      </c>
      <c r="F24" s="8">
        <v>176.5356</v>
      </c>
      <c r="G24" s="9">
        <f t="shared" si="0"/>
        <v>2471.4984</v>
      </c>
    </row>
    <row r="25" spans="2:7" ht="24">
      <c r="B25" s="5">
        <v>21</v>
      </c>
      <c r="C25" s="6" t="s">
        <v>91</v>
      </c>
      <c r="D25" s="6" t="s">
        <v>71</v>
      </c>
      <c r="E25" s="18">
        <v>2.45718</v>
      </c>
      <c r="F25" s="8">
        <v>176.5356</v>
      </c>
      <c r="G25" s="9">
        <f t="shared" si="0"/>
        <v>433.779745608</v>
      </c>
    </row>
    <row r="26" spans="2:7" ht="12">
      <c r="B26" s="5">
        <v>22</v>
      </c>
      <c r="C26" s="6" t="s">
        <v>92</v>
      </c>
      <c r="D26" s="6" t="s">
        <v>71</v>
      </c>
      <c r="E26" s="18">
        <v>24.832</v>
      </c>
      <c r="F26" s="8">
        <v>161.712</v>
      </c>
      <c r="G26" s="9">
        <f t="shared" si="0"/>
        <v>4015.632384</v>
      </c>
    </row>
    <row r="27" spans="2:7" ht="12">
      <c r="B27" s="5">
        <v>23</v>
      </c>
      <c r="C27" s="6" t="s">
        <v>93</v>
      </c>
      <c r="D27" s="6" t="s">
        <v>71</v>
      </c>
      <c r="E27" s="18">
        <v>11.1</v>
      </c>
      <c r="F27" s="8">
        <v>146.8884</v>
      </c>
      <c r="G27" s="9">
        <f t="shared" si="0"/>
        <v>1630.4612399999999</v>
      </c>
    </row>
    <row r="28" spans="2:7" ht="12">
      <c r="B28" s="5">
        <v>24</v>
      </c>
      <c r="C28" s="6" t="s">
        <v>94</v>
      </c>
      <c r="D28" s="6" t="s">
        <v>71</v>
      </c>
      <c r="E28" s="18">
        <v>76.65515</v>
      </c>
      <c r="F28" s="19">
        <v>176.54</v>
      </c>
      <c r="G28" s="9">
        <f t="shared" si="0"/>
        <v>13532.700181</v>
      </c>
    </row>
    <row r="29" spans="2:7" ht="12">
      <c r="B29" s="5">
        <v>25</v>
      </c>
      <c r="C29" s="6" t="s">
        <v>95</v>
      </c>
      <c r="D29" s="6" t="s">
        <v>71</v>
      </c>
      <c r="E29" s="18">
        <v>159.57851</v>
      </c>
      <c r="F29" s="8">
        <v>176.5356</v>
      </c>
      <c r="G29" s="9">
        <f t="shared" si="0"/>
        <v>28171.288009956</v>
      </c>
    </row>
    <row r="30" spans="2:7" ht="12">
      <c r="B30" s="5">
        <v>26</v>
      </c>
      <c r="C30" s="6" t="s">
        <v>96</v>
      </c>
      <c r="D30" s="6" t="s">
        <v>71</v>
      </c>
      <c r="E30" s="18">
        <v>8.832</v>
      </c>
      <c r="F30" s="8">
        <v>190.0116</v>
      </c>
      <c r="G30" s="9">
        <f t="shared" si="0"/>
        <v>1678.1824512</v>
      </c>
    </row>
    <row r="31" spans="2:7" ht="24">
      <c r="B31" s="5">
        <v>27</v>
      </c>
      <c r="C31" s="6" t="s">
        <v>97</v>
      </c>
      <c r="D31" s="6" t="s">
        <v>98</v>
      </c>
      <c r="E31" s="18">
        <v>2.45718</v>
      </c>
      <c r="F31" s="8">
        <v>190.0116</v>
      </c>
      <c r="G31" s="9">
        <f t="shared" si="0"/>
        <v>466.892703288</v>
      </c>
    </row>
    <row r="32" spans="2:7" ht="24">
      <c r="B32" s="5">
        <v>28</v>
      </c>
      <c r="C32" s="6" t="s">
        <v>99</v>
      </c>
      <c r="D32" s="6" t="s">
        <v>71</v>
      </c>
      <c r="E32" s="18">
        <v>4.26</v>
      </c>
      <c r="F32" s="19">
        <v>161.71</v>
      </c>
      <c r="G32" s="9">
        <f t="shared" si="0"/>
        <v>688.8846</v>
      </c>
    </row>
    <row r="33" spans="2:7" ht="24">
      <c r="B33" s="5">
        <v>29</v>
      </c>
      <c r="C33" s="6" t="s">
        <v>100</v>
      </c>
      <c r="D33" s="6" t="s">
        <v>71</v>
      </c>
      <c r="E33" s="18">
        <v>2.45718</v>
      </c>
      <c r="F33" s="8">
        <v>176.5356</v>
      </c>
      <c r="G33" s="9">
        <f t="shared" si="0"/>
        <v>433.779745608</v>
      </c>
    </row>
    <row r="34" spans="2:7" ht="12">
      <c r="B34" s="74" t="s">
        <v>56</v>
      </c>
      <c r="C34" s="75"/>
      <c r="D34" s="75"/>
      <c r="E34" s="75"/>
      <c r="F34" s="76"/>
      <c r="G34" s="10">
        <f>SUM(G5:G33)</f>
        <v>86378.21543268336</v>
      </c>
    </row>
    <row r="35" spans="2:7" ht="15">
      <c r="B35" s="77" t="s">
        <v>101</v>
      </c>
      <c r="C35" s="77"/>
      <c r="D35" s="77"/>
      <c r="E35" s="77"/>
      <c r="F35" s="77"/>
      <c r="G35" s="77"/>
    </row>
    <row r="36" spans="2:7" ht="12">
      <c r="B36" s="14">
        <v>30</v>
      </c>
      <c r="C36" s="15" t="s">
        <v>102</v>
      </c>
      <c r="D36" s="15" t="s">
        <v>103</v>
      </c>
      <c r="E36" s="16">
        <v>0.0168</v>
      </c>
      <c r="F36" s="17">
        <v>437.4003</v>
      </c>
      <c r="G36" s="20">
        <f aca="true" t="shared" si="1" ref="G36:G67">E36*F36</f>
        <v>7.34832504</v>
      </c>
    </row>
    <row r="37" spans="2:7" ht="12">
      <c r="B37" s="5">
        <v>31</v>
      </c>
      <c r="C37" s="6" t="s">
        <v>104</v>
      </c>
      <c r="D37" s="6" t="s">
        <v>105</v>
      </c>
      <c r="E37" s="18">
        <v>0.0067623</v>
      </c>
      <c r="F37" s="8">
        <v>51532.2621</v>
      </c>
      <c r="G37" s="9">
        <f t="shared" si="1"/>
        <v>348.47661599882997</v>
      </c>
    </row>
    <row r="38" spans="2:7" ht="24">
      <c r="B38" s="5">
        <v>32</v>
      </c>
      <c r="C38" s="6" t="s">
        <v>106</v>
      </c>
      <c r="D38" s="6" t="s">
        <v>105</v>
      </c>
      <c r="E38" s="18">
        <v>0.009</v>
      </c>
      <c r="F38" s="8">
        <v>69661.4319</v>
      </c>
      <c r="G38" s="9">
        <f t="shared" si="1"/>
        <v>626.9528870999999</v>
      </c>
    </row>
    <row r="39" spans="2:7" ht="24">
      <c r="B39" s="5">
        <v>33</v>
      </c>
      <c r="C39" s="6" t="s">
        <v>107</v>
      </c>
      <c r="D39" s="6" t="s">
        <v>108</v>
      </c>
      <c r="E39" s="18">
        <v>2</v>
      </c>
      <c r="F39" s="8">
        <v>4341.4692000000005</v>
      </c>
      <c r="G39" s="9">
        <f t="shared" si="1"/>
        <v>8682.938400000001</v>
      </c>
    </row>
    <row r="40" spans="2:7" ht="12">
      <c r="B40" s="5">
        <v>34</v>
      </c>
      <c r="C40" s="6" t="s">
        <v>109</v>
      </c>
      <c r="D40" s="6" t="s">
        <v>105</v>
      </c>
      <c r="E40" s="18">
        <v>0.00038</v>
      </c>
      <c r="F40" s="8">
        <v>110646.396</v>
      </c>
      <c r="G40" s="9">
        <f t="shared" si="1"/>
        <v>42.04563048</v>
      </c>
    </row>
    <row r="41" spans="2:7" ht="12">
      <c r="B41" s="5">
        <v>35</v>
      </c>
      <c r="C41" s="6" t="s">
        <v>110</v>
      </c>
      <c r="D41" s="6" t="s">
        <v>111</v>
      </c>
      <c r="E41" s="18">
        <v>0.50993</v>
      </c>
      <c r="F41" s="8">
        <v>22.4847</v>
      </c>
      <c r="G41" s="9">
        <f t="shared" si="1"/>
        <v>11.465623071</v>
      </c>
    </row>
    <row r="42" spans="2:7" ht="12">
      <c r="B42" s="5">
        <v>36</v>
      </c>
      <c r="C42" s="6" t="s">
        <v>112</v>
      </c>
      <c r="D42" s="6" t="s">
        <v>103</v>
      </c>
      <c r="E42" s="18">
        <v>30.325</v>
      </c>
      <c r="F42" s="19">
        <v>19.21</v>
      </c>
      <c r="G42" s="9">
        <f t="shared" si="1"/>
        <v>582.5432500000001</v>
      </c>
    </row>
    <row r="43" spans="2:7" ht="12">
      <c r="B43" s="5">
        <v>37</v>
      </c>
      <c r="C43" s="6" t="s">
        <v>113</v>
      </c>
      <c r="D43" s="6" t="s">
        <v>105</v>
      </c>
      <c r="E43" s="18">
        <v>0.0001335</v>
      </c>
      <c r="F43" s="8">
        <v>46738.970400000006</v>
      </c>
      <c r="G43" s="9">
        <f t="shared" si="1"/>
        <v>6.2396525484000005</v>
      </c>
    </row>
    <row r="44" spans="2:7" ht="12">
      <c r="B44" s="5">
        <v>38</v>
      </c>
      <c r="C44" s="6" t="s">
        <v>114</v>
      </c>
      <c r="D44" s="6" t="s">
        <v>111</v>
      </c>
      <c r="E44" s="18">
        <v>1.67606</v>
      </c>
      <c r="F44" s="8">
        <v>56.760000000000005</v>
      </c>
      <c r="G44" s="9">
        <f t="shared" si="1"/>
        <v>95.13316560000001</v>
      </c>
    </row>
    <row r="45" spans="2:7" ht="24">
      <c r="B45" s="5">
        <v>39</v>
      </c>
      <c r="C45" s="6" t="s">
        <v>115</v>
      </c>
      <c r="D45" s="6" t="s">
        <v>116</v>
      </c>
      <c r="E45" s="18">
        <v>0.0178</v>
      </c>
      <c r="F45" s="8">
        <v>13302.905700000001</v>
      </c>
      <c r="G45" s="9">
        <f t="shared" si="1"/>
        <v>236.79172146000002</v>
      </c>
    </row>
    <row r="46" spans="2:7" ht="12">
      <c r="B46" s="5">
        <v>40</v>
      </c>
      <c r="C46" s="6" t="s">
        <v>117</v>
      </c>
      <c r="D46" s="6" t="s">
        <v>118</v>
      </c>
      <c r="E46" s="18">
        <v>0.608</v>
      </c>
      <c r="F46" s="8">
        <v>22.188</v>
      </c>
      <c r="G46" s="9">
        <f t="shared" si="1"/>
        <v>13.490303999999998</v>
      </c>
    </row>
    <row r="47" spans="2:7" ht="12">
      <c r="B47" s="5">
        <v>41</v>
      </c>
      <c r="C47" s="6" t="s">
        <v>119</v>
      </c>
      <c r="D47" s="6" t="s">
        <v>105</v>
      </c>
      <c r="E47" s="18">
        <v>0.002688</v>
      </c>
      <c r="F47" s="8">
        <v>2714.6760000000004</v>
      </c>
      <c r="G47" s="9">
        <f t="shared" si="1"/>
        <v>7.2970490880000005</v>
      </c>
    </row>
    <row r="48" spans="2:7" ht="12">
      <c r="B48" s="5">
        <v>42</v>
      </c>
      <c r="C48" s="6" t="s">
        <v>120</v>
      </c>
      <c r="D48" s="6" t="s">
        <v>111</v>
      </c>
      <c r="E48" s="18">
        <v>0.208</v>
      </c>
      <c r="F48" s="8">
        <v>13.3644</v>
      </c>
      <c r="G48" s="9">
        <f t="shared" si="1"/>
        <v>2.7797951999999997</v>
      </c>
    </row>
    <row r="49" spans="2:7" ht="12">
      <c r="B49" s="5">
        <v>43</v>
      </c>
      <c r="C49" s="6" t="s">
        <v>121</v>
      </c>
      <c r="D49" s="6" t="s">
        <v>105</v>
      </c>
      <c r="E49" s="18">
        <v>0.001</v>
      </c>
      <c r="F49" s="8">
        <v>57123.3285</v>
      </c>
      <c r="G49" s="9">
        <f t="shared" si="1"/>
        <v>57.12332850000001</v>
      </c>
    </row>
    <row r="50" spans="2:7" ht="12">
      <c r="B50" s="5">
        <v>44</v>
      </c>
      <c r="C50" s="6" t="s">
        <v>122</v>
      </c>
      <c r="D50" s="6" t="s">
        <v>103</v>
      </c>
      <c r="E50" s="18">
        <v>0.0384</v>
      </c>
      <c r="F50" s="8">
        <v>64.1259</v>
      </c>
      <c r="G50" s="9">
        <f t="shared" si="1"/>
        <v>2.4624345599999997</v>
      </c>
    </row>
    <row r="51" spans="2:7" ht="12">
      <c r="B51" s="5">
        <v>45</v>
      </c>
      <c r="C51" s="6" t="s">
        <v>123</v>
      </c>
      <c r="D51" s="6" t="s">
        <v>108</v>
      </c>
      <c r="E51" s="18">
        <v>0.8</v>
      </c>
      <c r="F51" s="8">
        <v>595.8639000000001</v>
      </c>
      <c r="G51" s="9">
        <f t="shared" si="1"/>
        <v>476.69112000000007</v>
      </c>
    </row>
    <row r="52" spans="2:7" ht="24">
      <c r="B52" s="5">
        <v>46</v>
      </c>
      <c r="C52" s="6" t="s">
        <v>124</v>
      </c>
      <c r="D52" s="6" t="s">
        <v>108</v>
      </c>
      <c r="E52" s="18">
        <v>1</v>
      </c>
      <c r="F52" s="8">
        <v>170.0091</v>
      </c>
      <c r="G52" s="9">
        <f t="shared" si="1"/>
        <v>170.0091</v>
      </c>
    </row>
    <row r="53" spans="2:7" ht="12">
      <c r="B53" s="5">
        <v>47</v>
      </c>
      <c r="C53" s="6" t="s">
        <v>125</v>
      </c>
      <c r="D53" s="6" t="s">
        <v>105</v>
      </c>
      <c r="E53" s="18">
        <v>8.7E-05</v>
      </c>
      <c r="F53" s="8">
        <v>43616.202900000004</v>
      </c>
      <c r="G53" s="9">
        <f t="shared" si="1"/>
        <v>3.7946096523000006</v>
      </c>
    </row>
    <row r="54" spans="2:7" ht="12">
      <c r="B54" s="5">
        <v>48</v>
      </c>
      <c r="C54" s="6" t="s">
        <v>126</v>
      </c>
      <c r="D54" s="6" t="s">
        <v>105</v>
      </c>
      <c r="E54" s="18">
        <v>0.0016921</v>
      </c>
      <c r="F54" s="8">
        <v>69742.66320000001</v>
      </c>
      <c r="G54" s="9">
        <f t="shared" si="1"/>
        <v>118.01156040072001</v>
      </c>
    </row>
    <row r="55" spans="2:7" ht="12">
      <c r="B55" s="5">
        <v>49</v>
      </c>
      <c r="C55" s="6" t="s">
        <v>127</v>
      </c>
      <c r="D55" s="6" t="s">
        <v>105</v>
      </c>
      <c r="E55" s="18">
        <v>0.0004</v>
      </c>
      <c r="F55" s="19">
        <v>0.01</v>
      </c>
      <c r="G55" s="9">
        <f t="shared" si="1"/>
        <v>4.000000000000001E-06</v>
      </c>
    </row>
    <row r="56" spans="2:7" ht="24">
      <c r="B56" s="5">
        <v>50</v>
      </c>
      <c r="C56" s="6" t="s">
        <v>128</v>
      </c>
      <c r="D56" s="6" t="s">
        <v>105</v>
      </c>
      <c r="E56" s="18">
        <v>0.0047616</v>
      </c>
      <c r="F56" s="8">
        <v>65606.2524</v>
      </c>
      <c r="G56" s="9">
        <f t="shared" si="1"/>
        <v>312.39073142784</v>
      </c>
    </row>
    <row r="57" spans="2:7" ht="12">
      <c r="B57" s="5">
        <v>51</v>
      </c>
      <c r="C57" s="6" t="s">
        <v>129</v>
      </c>
      <c r="D57" s="6" t="s">
        <v>105</v>
      </c>
      <c r="E57" s="18">
        <v>0.0011968</v>
      </c>
      <c r="F57" s="8">
        <v>43306.7319</v>
      </c>
      <c r="G57" s="9">
        <f t="shared" si="1"/>
        <v>51.82949673792</v>
      </c>
    </row>
    <row r="58" spans="2:7" ht="12">
      <c r="B58" s="5">
        <v>52</v>
      </c>
      <c r="C58" s="6" t="s">
        <v>130</v>
      </c>
      <c r="D58" s="6" t="s">
        <v>111</v>
      </c>
      <c r="E58" s="18">
        <v>3.0475</v>
      </c>
      <c r="F58" s="8">
        <v>49.8843</v>
      </c>
      <c r="G58" s="9">
        <f t="shared" si="1"/>
        <v>152.02240425</v>
      </c>
    </row>
    <row r="59" spans="2:7" ht="12">
      <c r="B59" s="5">
        <v>53</v>
      </c>
      <c r="C59" s="6" t="s">
        <v>131</v>
      </c>
      <c r="D59" s="6" t="s">
        <v>105</v>
      </c>
      <c r="E59" s="18">
        <v>5.94E-05</v>
      </c>
      <c r="F59" s="8">
        <v>112377.6792</v>
      </c>
      <c r="G59" s="9">
        <f t="shared" si="1"/>
        <v>6.67523414448</v>
      </c>
    </row>
    <row r="60" spans="2:7" ht="12">
      <c r="B60" s="5">
        <v>54</v>
      </c>
      <c r="C60" s="6" t="s">
        <v>132</v>
      </c>
      <c r="D60" s="6" t="s">
        <v>118</v>
      </c>
      <c r="E60" s="18">
        <v>6</v>
      </c>
      <c r="F60" s="8">
        <v>201.0078</v>
      </c>
      <c r="G60" s="9">
        <f t="shared" si="1"/>
        <v>1206.0468</v>
      </c>
    </row>
    <row r="61" spans="2:7" ht="36">
      <c r="B61" s="5">
        <v>55</v>
      </c>
      <c r="C61" s="6" t="s">
        <v>133</v>
      </c>
      <c r="D61" s="6" t="s">
        <v>105</v>
      </c>
      <c r="E61" s="18">
        <v>0.0102</v>
      </c>
      <c r="F61" s="8">
        <v>33865.3896</v>
      </c>
      <c r="G61" s="9">
        <f t="shared" si="1"/>
        <v>345.42697392</v>
      </c>
    </row>
    <row r="62" spans="2:7" ht="12">
      <c r="B62" s="5">
        <v>56</v>
      </c>
      <c r="C62" s="6" t="s">
        <v>134</v>
      </c>
      <c r="D62" s="6" t="s">
        <v>111</v>
      </c>
      <c r="E62" s="18">
        <v>0.04</v>
      </c>
      <c r="F62" s="8">
        <v>790.0088999999999</v>
      </c>
      <c r="G62" s="9">
        <f t="shared" si="1"/>
        <v>31.600355999999998</v>
      </c>
    </row>
    <row r="63" spans="2:7" ht="24">
      <c r="B63" s="5">
        <v>57</v>
      </c>
      <c r="C63" s="6" t="s">
        <v>135</v>
      </c>
      <c r="D63" s="6" t="s">
        <v>136</v>
      </c>
      <c r="E63" s="18">
        <v>12.015</v>
      </c>
      <c r="F63" s="8">
        <v>115.5969</v>
      </c>
      <c r="G63" s="9">
        <f t="shared" si="1"/>
        <v>1388.8967535000002</v>
      </c>
    </row>
    <row r="64" spans="2:7" ht="12">
      <c r="B64" s="5">
        <v>58</v>
      </c>
      <c r="C64" s="6" t="s">
        <v>137</v>
      </c>
      <c r="D64" s="6" t="s">
        <v>138</v>
      </c>
      <c r="E64" s="18">
        <v>1</v>
      </c>
      <c r="F64" s="19">
        <v>0.01</v>
      </c>
      <c r="G64" s="9">
        <f t="shared" si="1"/>
        <v>0.01</v>
      </c>
    </row>
    <row r="65" spans="2:7" ht="12">
      <c r="B65" s="5">
        <v>59</v>
      </c>
      <c r="C65" s="6" t="s">
        <v>139</v>
      </c>
      <c r="D65" s="6" t="s">
        <v>111</v>
      </c>
      <c r="E65" s="18">
        <v>4.18</v>
      </c>
      <c r="F65" s="8">
        <v>209.00580000000002</v>
      </c>
      <c r="G65" s="9">
        <f t="shared" si="1"/>
        <v>873.6442440000001</v>
      </c>
    </row>
    <row r="66" spans="2:7" ht="24">
      <c r="B66" s="5">
        <v>60</v>
      </c>
      <c r="C66" s="6" t="s">
        <v>140</v>
      </c>
      <c r="D66" s="6" t="s">
        <v>103</v>
      </c>
      <c r="E66" s="18">
        <v>0.01995</v>
      </c>
      <c r="F66" s="8">
        <v>2532.4248</v>
      </c>
      <c r="G66" s="9">
        <f t="shared" si="1"/>
        <v>50.521874759999996</v>
      </c>
    </row>
    <row r="67" spans="2:7" ht="12">
      <c r="B67" s="5">
        <v>61</v>
      </c>
      <c r="C67" s="6" t="s">
        <v>141</v>
      </c>
      <c r="D67" s="6" t="s">
        <v>105</v>
      </c>
      <c r="E67" s="18">
        <v>0.0008</v>
      </c>
      <c r="F67" s="19">
        <v>0.01</v>
      </c>
      <c r="G67" s="9">
        <f t="shared" si="1"/>
        <v>8.000000000000001E-06</v>
      </c>
    </row>
    <row r="68" spans="2:7" ht="12">
      <c r="B68" s="5">
        <v>62</v>
      </c>
      <c r="C68" s="6" t="s">
        <v>142</v>
      </c>
      <c r="D68" s="6" t="s">
        <v>108</v>
      </c>
      <c r="E68" s="18">
        <v>9.685</v>
      </c>
      <c r="F68" s="8">
        <v>3.7152</v>
      </c>
      <c r="G68" s="9">
        <f aca="true" t="shared" si="2" ref="G68:G99">E68*F68</f>
        <v>35.981712</v>
      </c>
    </row>
    <row r="69" spans="2:7" ht="12">
      <c r="B69" s="5">
        <v>63</v>
      </c>
      <c r="C69" s="6" t="s">
        <v>143</v>
      </c>
      <c r="D69" s="6" t="s">
        <v>111</v>
      </c>
      <c r="E69" s="18">
        <v>0.352</v>
      </c>
      <c r="F69" s="8">
        <v>37.6035</v>
      </c>
      <c r="G69" s="9">
        <f t="shared" si="2"/>
        <v>13.236431999999999</v>
      </c>
    </row>
    <row r="70" spans="2:7" ht="12">
      <c r="B70" s="5">
        <v>64</v>
      </c>
      <c r="C70" s="6" t="s">
        <v>144</v>
      </c>
      <c r="D70" s="6" t="s">
        <v>105</v>
      </c>
      <c r="E70" s="18">
        <v>0.0004</v>
      </c>
      <c r="F70" s="8">
        <v>33255.4389</v>
      </c>
      <c r="G70" s="9">
        <f t="shared" si="2"/>
        <v>13.30217556</v>
      </c>
    </row>
    <row r="71" spans="2:7" ht="12">
      <c r="B71" s="5">
        <v>65</v>
      </c>
      <c r="C71" s="6" t="s">
        <v>145</v>
      </c>
      <c r="D71" s="6" t="s">
        <v>108</v>
      </c>
      <c r="E71" s="18">
        <v>0.8</v>
      </c>
      <c r="F71" s="8">
        <v>76.8066</v>
      </c>
      <c r="G71" s="9">
        <f t="shared" si="2"/>
        <v>61.445280000000004</v>
      </c>
    </row>
    <row r="72" spans="2:7" ht="12">
      <c r="B72" s="5">
        <v>66</v>
      </c>
      <c r="C72" s="6" t="s">
        <v>146</v>
      </c>
      <c r="D72" s="6" t="s">
        <v>105</v>
      </c>
      <c r="E72" s="18">
        <v>0.0016576</v>
      </c>
      <c r="F72" s="8">
        <v>39357.9</v>
      </c>
      <c r="G72" s="9">
        <f t="shared" si="2"/>
        <v>65.23965504</v>
      </c>
    </row>
    <row r="73" spans="2:7" ht="12">
      <c r="B73" s="5">
        <v>67</v>
      </c>
      <c r="C73" s="6" t="s">
        <v>147</v>
      </c>
      <c r="D73" s="6" t="s">
        <v>111</v>
      </c>
      <c r="E73" s="18">
        <v>7.71765</v>
      </c>
      <c r="F73" s="8">
        <v>116.5644</v>
      </c>
      <c r="G73" s="9">
        <f t="shared" si="2"/>
        <v>899.60324166</v>
      </c>
    </row>
    <row r="74" spans="2:7" ht="12">
      <c r="B74" s="5">
        <v>68</v>
      </c>
      <c r="C74" s="6" t="s">
        <v>148</v>
      </c>
      <c r="D74" s="6" t="s">
        <v>111</v>
      </c>
      <c r="E74" s="18">
        <v>0.036</v>
      </c>
      <c r="F74" s="8">
        <v>64.15169999999999</v>
      </c>
      <c r="G74" s="9">
        <f t="shared" si="2"/>
        <v>2.3094611999999994</v>
      </c>
    </row>
    <row r="75" spans="2:7" ht="12">
      <c r="B75" s="5">
        <v>69</v>
      </c>
      <c r="C75" s="6" t="s">
        <v>149</v>
      </c>
      <c r="D75" s="6" t="s">
        <v>105</v>
      </c>
      <c r="E75" s="18">
        <v>0.0018</v>
      </c>
      <c r="F75" s="19">
        <v>0.01</v>
      </c>
      <c r="G75" s="9">
        <f t="shared" si="2"/>
        <v>1.8E-05</v>
      </c>
    </row>
    <row r="76" spans="2:7" ht="12">
      <c r="B76" s="5">
        <v>70</v>
      </c>
      <c r="C76" s="6" t="s">
        <v>150</v>
      </c>
      <c r="D76" s="6" t="s">
        <v>105</v>
      </c>
      <c r="E76" s="18">
        <v>0.015872</v>
      </c>
      <c r="F76" s="8">
        <v>8059.146</v>
      </c>
      <c r="G76" s="9">
        <f t="shared" si="2"/>
        <v>127.914765312</v>
      </c>
    </row>
    <row r="77" spans="2:7" ht="24">
      <c r="B77" s="5">
        <v>71</v>
      </c>
      <c r="C77" s="6" t="s">
        <v>151</v>
      </c>
      <c r="D77" s="6" t="s">
        <v>103</v>
      </c>
      <c r="E77" s="18">
        <v>0.00048387</v>
      </c>
      <c r="F77" s="8">
        <v>962.0690999999999</v>
      </c>
      <c r="G77" s="9">
        <f t="shared" si="2"/>
        <v>0.465516375417</v>
      </c>
    </row>
    <row r="78" spans="2:7" ht="12">
      <c r="B78" s="5">
        <v>72</v>
      </c>
      <c r="C78" s="6" t="s">
        <v>152</v>
      </c>
      <c r="D78" s="6" t="s">
        <v>108</v>
      </c>
      <c r="E78" s="18">
        <v>0.8</v>
      </c>
      <c r="F78" s="8">
        <v>340.76640000000003</v>
      </c>
      <c r="G78" s="9">
        <f t="shared" si="2"/>
        <v>272.61312000000004</v>
      </c>
    </row>
    <row r="79" spans="2:7" ht="12">
      <c r="B79" s="5">
        <v>73</v>
      </c>
      <c r="C79" s="6" t="s">
        <v>153</v>
      </c>
      <c r="D79" s="6" t="s">
        <v>111</v>
      </c>
      <c r="E79" s="18">
        <v>0.3841</v>
      </c>
      <c r="F79" s="8">
        <v>176.1237</v>
      </c>
      <c r="G79" s="9">
        <f t="shared" si="2"/>
        <v>67.64911317</v>
      </c>
    </row>
    <row r="80" spans="2:7" ht="12">
      <c r="B80" s="5">
        <v>74</v>
      </c>
      <c r="C80" s="6" t="s">
        <v>154</v>
      </c>
      <c r="D80" s="6" t="s">
        <v>105</v>
      </c>
      <c r="E80" s="18">
        <v>0.00089</v>
      </c>
      <c r="F80" s="8">
        <v>42504.8808</v>
      </c>
      <c r="G80" s="9">
        <f t="shared" si="2"/>
        <v>37.829343912</v>
      </c>
    </row>
    <row r="81" spans="2:7" ht="24">
      <c r="B81" s="5">
        <v>75</v>
      </c>
      <c r="C81" s="6" t="s">
        <v>155</v>
      </c>
      <c r="D81" s="6" t="s">
        <v>111</v>
      </c>
      <c r="E81" s="18">
        <v>0.445</v>
      </c>
      <c r="F81" s="8">
        <v>79.24470000000001</v>
      </c>
      <c r="G81" s="9">
        <f t="shared" si="2"/>
        <v>35.26389150000001</v>
      </c>
    </row>
    <row r="82" spans="2:7" ht="12">
      <c r="B82" s="5">
        <v>76</v>
      </c>
      <c r="C82" s="6" t="s">
        <v>156</v>
      </c>
      <c r="D82" s="6" t="s">
        <v>108</v>
      </c>
      <c r="E82" s="18">
        <v>44.5</v>
      </c>
      <c r="F82" s="8">
        <v>2.7606</v>
      </c>
      <c r="G82" s="9">
        <f t="shared" si="2"/>
        <v>122.84670000000001</v>
      </c>
    </row>
    <row r="83" spans="2:7" ht="12">
      <c r="B83" s="5">
        <v>77</v>
      </c>
      <c r="C83" s="6" t="s">
        <v>157</v>
      </c>
      <c r="D83" s="6" t="s">
        <v>103</v>
      </c>
      <c r="E83" s="18">
        <v>1.52</v>
      </c>
      <c r="F83" s="8">
        <v>3547.1775000000002</v>
      </c>
      <c r="G83" s="9">
        <f t="shared" si="2"/>
        <v>5391.7098000000005</v>
      </c>
    </row>
    <row r="84" spans="2:7" ht="12">
      <c r="B84" s="5">
        <v>78</v>
      </c>
      <c r="C84" s="6" t="s">
        <v>158</v>
      </c>
      <c r="D84" s="6" t="s">
        <v>103</v>
      </c>
      <c r="E84" s="18">
        <v>0.06</v>
      </c>
      <c r="F84" s="8">
        <v>5755.3608</v>
      </c>
      <c r="G84" s="9">
        <f t="shared" si="2"/>
        <v>345.321648</v>
      </c>
    </row>
    <row r="85" spans="2:7" ht="12">
      <c r="B85" s="5">
        <v>79</v>
      </c>
      <c r="C85" s="6" t="s">
        <v>159</v>
      </c>
      <c r="D85" s="6" t="s">
        <v>111</v>
      </c>
      <c r="E85" s="18">
        <v>3.6</v>
      </c>
      <c r="F85" s="8">
        <v>96.6855</v>
      </c>
      <c r="G85" s="9">
        <f t="shared" si="2"/>
        <v>348.06780000000003</v>
      </c>
    </row>
    <row r="86" spans="2:7" ht="12">
      <c r="B86" s="5">
        <v>80</v>
      </c>
      <c r="C86" s="6" t="s">
        <v>160</v>
      </c>
      <c r="D86" s="6" t="s">
        <v>108</v>
      </c>
      <c r="E86" s="18">
        <v>10</v>
      </c>
      <c r="F86" s="8">
        <v>41.8476</v>
      </c>
      <c r="G86" s="9">
        <f t="shared" si="2"/>
        <v>418.476</v>
      </c>
    </row>
    <row r="87" spans="2:7" ht="12">
      <c r="B87" s="5">
        <v>81</v>
      </c>
      <c r="C87" s="6" t="s">
        <v>161</v>
      </c>
      <c r="D87" s="6" t="s">
        <v>111</v>
      </c>
      <c r="E87" s="18">
        <v>0.288</v>
      </c>
      <c r="F87" s="8">
        <v>121.6857</v>
      </c>
      <c r="G87" s="9">
        <f t="shared" si="2"/>
        <v>35.045481599999995</v>
      </c>
    </row>
    <row r="88" spans="2:7" ht="12">
      <c r="B88" s="5">
        <v>82</v>
      </c>
      <c r="C88" s="6" t="s">
        <v>162</v>
      </c>
      <c r="D88" s="6" t="s">
        <v>136</v>
      </c>
      <c r="E88" s="18">
        <v>2.6</v>
      </c>
      <c r="F88" s="8">
        <v>167.7387</v>
      </c>
      <c r="G88" s="9">
        <f t="shared" si="2"/>
        <v>436.12062</v>
      </c>
    </row>
    <row r="89" spans="2:7" ht="12">
      <c r="B89" s="5">
        <v>83</v>
      </c>
      <c r="C89" s="6" t="s">
        <v>163</v>
      </c>
      <c r="D89" s="6" t="s">
        <v>108</v>
      </c>
      <c r="E89" s="18">
        <v>6.4</v>
      </c>
      <c r="F89" s="8">
        <v>455.66670000000005</v>
      </c>
      <c r="G89" s="9">
        <f t="shared" si="2"/>
        <v>2916.2668800000006</v>
      </c>
    </row>
    <row r="90" spans="2:7" ht="24">
      <c r="B90" s="5">
        <v>84</v>
      </c>
      <c r="C90" s="6" t="s">
        <v>164</v>
      </c>
      <c r="D90" s="6" t="s">
        <v>138</v>
      </c>
      <c r="E90" s="18">
        <v>1</v>
      </c>
      <c r="F90" s="19">
        <v>0.01</v>
      </c>
      <c r="G90" s="9">
        <f t="shared" si="2"/>
        <v>0.01</v>
      </c>
    </row>
    <row r="91" spans="2:7" ht="12">
      <c r="B91" s="5">
        <v>85</v>
      </c>
      <c r="C91" s="6" t="s">
        <v>165</v>
      </c>
      <c r="D91" s="6" t="s">
        <v>136</v>
      </c>
      <c r="E91" s="18">
        <v>4</v>
      </c>
      <c r="F91" s="8">
        <v>56.0118</v>
      </c>
      <c r="G91" s="9">
        <f t="shared" si="2"/>
        <v>224.0472</v>
      </c>
    </row>
    <row r="92" spans="2:7" ht="36">
      <c r="B92" s="5">
        <v>86</v>
      </c>
      <c r="C92" s="6" t="s">
        <v>166</v>
      </c>
      <c r="D92" s="6" t="s">
        <v>105</v>
      </c>
      <c r="E92" s="18">
        <v>0.022</v>
      </c>
      <c r="F92" s="19">
        <v>0.01</v>
      </c>
      <c r="G92" s="9">
        <f t="shared" si="2"/>
        <v>0.00021999999999999998</v>
      </c>
    </row>
    <row r="93" spans="2:7" ht="12">
      <c r="B93" s="5">
        <v>87</v>
      </c>
      <c r="C93" s="6" t="s">
        <v>167</v>
      </c>
      <c r="D93" s="6" t="s">
        <v>108</v>
      </c>
      <c r="E93" s="18">
        <v>0.4</v>
      </c>
      <c r="F93" s="8">
        <v>293.733</v>
      </c>
      <c r="G93" s="9">
        <f t="shared" si="2"/>
        <v>117.4932</v>
      </c>
    </row>
    <row r="94" spans="2:7" ht="12">
      <c r="B94" s="5">
        <v>88</v>
      </c>
      <c r="C94" s="6" t="s">
        <v>168</v>
      </c>
      <c r="D94" s="6" t="s">
        <v>169</v>
      </c>
      <c r="E94" s="18">
        <v>1.04</v>
      </c>
      <c r="F94" s="8">
        <v>32.8821</v>
      </c>
      <c r="G94" s="9">
        <f t="shared" si="2"/>
        <v>34.197384</v>
      </c>
    </row>
    <row r="95" spans="2:7" ht="12">
      <c r="B95" s="5">
        <v>89</v>
      </c>
      <c r="C95" s="6" t="s">
        <v>170</v>
      </c>
      <c r="D95" s="6" t="s">
        <v>171</v>
      </c>
      <c r="E95" s="18">
        <v>7.824</v>
      </c>
      <c r="F95" s="8">
        <v>193.5129</v>
      </c>
      <c r="G95" s="9">
        <f t="shared" si="2"/>
        <v>1514.0449296</v>
      </c>
    </row>
    <row r="96" spans="2:7" ht="12">
      <c r="B96" s="5">
        <v>90</v>
      </c>
      <c r="C96" s="6" t="s">
        <v>172</v>
      </c>
      <c r="D96" s="6" t="s">
        <v>171</v>
      </c>
      <c r="E96" s="18">
        <v>7.984</v>
      </c>
      <c r="F96" s="8">
        <v>382.2012</v>
      </c>
      <c r="G96" s="9">
        <f t="shared" si="2"/>
        <v>3051.4943808</v>
      </c>
    </row>
    <row r="97" spans="2:7" ht="12">
      <c r="B97" s="5">
        <v>91</v>
      </c>
      <c r="C97" s="6" t="s">
        <v>173</v>
      </c>
      <c r="D97" s="6" t="s">
        <v>108</v>
      </c>
      <c r="E97" s="18">
        <v>0.8</v>
      </c>
      <c r="F97" s="8">
        <v>266.5398</v>
      </c>
      <c r="G97" s="9">
        <f t="shared" si="2"/>
        <v>213.23184000000003</v>
      </c>
    </row>
    <row r="98" spans="2:7" ht="12">
      <c r="B98" s="5">
        <v>92</v>
      </c>
      <c r="C98" s="6" t="s">
        <v>174</v>
      </c>
      <c r="D98" s="6" t="s">
        <v>105</v>
      </c>
      <c r="E98" s="18">
        <v>0.0144</v>
      </c>
      <c r="F98" s="8">
        <v>28129.0434</v>
      </c>
      <c r="G98" s="9">
        <f t="shared" si="2"/>
        <v>405.05822495999996</v>
      </c>
    </row>
    <row r="99" spans="2:7" ht="12">
      <c r="B99" s="5">
        <v>93</v>
      </c>
      <c r="C99" s="6" t="s">
        <v>175</v>
      </c>
      <c r="D99" s="6" t="s">
        <v>176</v>
      </c>
      <c r="E99" s="18">
        <v>0.0136</v>
      </c>
      <c r="F99" s="8">
        <v>84124.4088</v>
      </c>
      <c r="G99" s="9">
        <f t="shared" si="2"/>
        <v>1144.09195968</v>
      </c>
    </row>
    <row r="100" spans="2:7" ht="24">
      <c r="B100" s="5">
        <v>94</v>
      </c>
      <c r="C100" s="6" t="s">
        <v>177</v>
      </c>
      <c r="D100" s="6" t="s">
        <v>108</v>
      </c>
      <c r="E100" s="18">
        <v>4</v>
      </c>
      <c r="F100" s="8">
        <v>19.5306</v>
      </c>
      <c r="G100" s="9">
        <f aca="true" t="shared" si="3" ref="G100:G107">E100*F100</f>
        <v>78.1224</v>
      </c>
    </row>
    <row r="101" spans="2:7" ht="12">
      <c r="B101" s="5">
        <v>95</v>
      </c>
      <c r="C101" s="6" t="s">
        <v>178</v>
      </c>
      <c r="D101" s="6" t="s">
        <v>105</v>
      </c>
      <c r="E101" s="18">
        <v>0.00408</v>
      </c>
      <c r="F101" s="8">
        <v>25179.3423</v>
      </c>
      <c r="G101" s="9">
        <f t="shared" si="3"/>
        <v>102.73171658400001</v>
      </c>
    </row>
    <row r="102" spans="2:7" ht="12">
      <c r="B102" s="5">
        <v>96</v>
      </c>
      <c r="C102" s="6" t="s">
        <v>179</v>
      </c>
      <c r="D102" s="6" t="s">
        <v>108</v>
      </c>
      <c r="E102" s="18">
        <v>44.5</v>
      </c>
      <c r="F102" s="8">
        <v>31.527600000000003</v>
      </c>
      <c r="G102" s="9">
        <f t="shared" si="3"/>
        <v>1402.9782000000002</v>
      </c>
    </row>
    <row r="103" spans="2:7" ht="12">
      <c r="B103" s="5">
        <v>97</v>
      </c>
      <c r="C103" s="6" t="s">
        <v>180</v>
      </c>
      <c r="D103" s="6" t="s">
        <v>136</v>
      </c>
      <c r="E103" s="18">
        <v>0.221736</v>
      </c>
      <c r="F103" s="8">
        <v>257.742</v>
      </c>
      <c r="G103" s="9">
        <f t="shared" si="3"/>
        <v>57.150680112</v>
      </c>
    </row>
    <row r="104" spans="2:7" ht="12">
      <c r="B104" s="5">
        <v>98</v>
      </c>
      <c r="C104" s="6" t="s">
        <v>181</v>
      </c>
      <c r="D104" s="6" t="s">
        <v>105</v>
      </c>
      <c r="E104" s="18">
        <v>0.00096</v>
      </c>
      <c r="F104" s="8">
        <v>16455.2142</v>
      </c>
      <c r="G104" s="9">
        <f t="shared" si="3"/>
        <v>15.797005632</v>
      </c>
    </row>
    <row r="105" spans="2:7" ht="12">
      <c r="B105" s="5">
        <v>99</v>
      </c>
      <c r="C105" s="6" t="s">
        <v>182</v>
      </c>
      <c r="D105" s="6" t="s">
        <v>105</v>
      </c>
      <c r="E105" s="18">
        <v>0.0077433</v>
      </c>
      <c r="F105" s="8">
        <v>14700.7497</v>
      </c>
      <c r="G105" s="9">
        <f t="shared" si="3"/>
        <v>113.83231515201</v>
      </c>
    </row>
    <row r="106" spans="2:7" ht="12">
      <c r="B106" s="5">
        <v>100</v>
      </c>
      <c r="C106" s="6" t="s">
        <v>183</v>
      </c>
      <c r="D106" s="6" t="s">
        <v>105</v>
      </c>
      <c r="E106" s="18">
        <v>0.0009434</v>
      </c>
      <c r="F106" s="8">
        <v>56420.317200000005</v>
      </c>
      <c r="G106" s="9">
        <f t="shared" si="3"/>
        <v>53.22692724648</v>
      </c>
    </row>
    <row r="107" spans="2:7" ht="12">
      <c r="B107" s="5">
        <v>101</v>
      </c>
      <c r="C107" s="6" t="s">
        <v>184</v>
      </c>
      <c r="D107" s="6" t="s">
        <v>105</v>
      </c>
      <c r="E107" s="18">
        <v>0.0008</v>
      </c>
      <c r="F107" s="19">
        <v>0.01</v>
      </c>
      <c r="G107" s="9">
        <f t="shared" si="3"/>
        <v>8.000000000000001E-06</v>
      </c>
    </row>
    <row r="108" spans="2:7" ht="12">
      <c r="B108" s="74" t="s">
        <v>56</v>
      </c>
      <c r="C108" s="75"/>
      <c r="D108" s="75"/>
      <c r="E108" s="75"/>
      <c r="F108" s="76"/>
      <c r="G108" s="10">
        <f>SUM(G36:G107)</f>
        <v>36084.87670053539</v>
      </c>
    </row>
    <row r="109" spans="2:7" ht="15">
      <c r="B109" s="77" t="s">
        <v>185</v>
      </c>
      <c r="C109" s="77"/>
      <c r="D109" s="77"/>
      <c r="E109" s="77"/>
      <c r="F109" s="77"/>
      <c r="G109" s="77"/>
    </row>
    <row r="110" spans="2:7" ht="12">
      <c r="B110" s="14">
        <v>102</v>
      </c>
      <c r="C110" s="15" t="s">
        <v>186</v>
      </c>
      <c r="D110" s="15" t="s">
        <v>108</v>
      </c>
      <c r="E110" s="16">
        <v>0.00179583</v>
      </c>
      <c r="F110" s="17">
        <v>107.46990000000001</v>
      </c>
      <c r="G110" s="20">
        <f aca="true" t="shared" si="4" ref="G110:G118">E110*F110</f>
        <v>0.192997670517</v>
      </c>
    </row>
    <row r="111" spans="2:7" ht="12">
      <c r="B111" s="5">
        <v>103</v>
      </c>
      <c r="C111" s="6" t="s">
        <v>187</v>
      </c>
      <c r="D111" s="6" t="s">
        <v>108</v>
      </c>
      <c r="E111" s="18">
        <v>0.02155028</v>
      </c>
      <c r="F111" s="8">
        <v>61.3524</v>
      </c>
      <c r="G111" s="9">
        <f t="shared" si="4"/>
        <v>1.3221613986720002</v>
      </c>
    </row>
    <row r="112" spans="2:7" ht="12">
      <c r="B112" s="5">
        <v>104</v>
      </c>
      <c r="C112" s="6" t="s">
        <v>188</v>
      </c>
      <c r="D112" s="6" t="s">
        <v>108</v>
      </c>
      <c r="E112" s="18">
        <v>0.028862</v>
      </c>
      <c r="F112" s="8">
        <v>255.98760000000001</v>
      </c>
      <c r="G112" s="9">
        <f t="shared" si="4"/>
        <v>7.3883141112</v>
      </c>
    </row>
    <row r="113" spans="2:7" ht="12">
      <c r="B113" s="5">
        <v>105</v>
      </c>
      <c r="C113" s="6" t="s">
        <v>189</v>
      </c>
      <c r="D113" s="6" t="s">
        <v>108</v>
      </c>
      <c r="E113" s="18">
        <v>0.01404</v>
      </c>
      <c r="F113" s="8">
        <v>270.90000000000003</v>
      </c>
      <c r="G113" s="9">
        <f t="shared" si="4"/>
        <v>3.8034360000000005</v>
      </c>
    </row>
    <row r="114" spans="2:7" ht="12">
      <c r="B114" s="5">
        <v>106</v>
      </c>
      <c r="C114" s="6" t="s">
        <v>190</v>
      </c>
      <c r="D114" s="6" t="s">
        <v>108</v>
      </c>
      <c r="E114" s="18">
        <v>2.5436996</v>
      </c>
      <c r="F114" s="8">
        <v>68.2281</v>
      </c>
      <c r="G114" s="9">
        <f t="shared" si="4"/>
        <v>173.55179067876</v>
      </c>
    </row>
    <row r="115" spans="2:7" ht="12">
      <c r="B115" s="5">
        <v>107</v>
      </c>
      <c r="C115" s="6" t="s">
        <v>191</v>
      </c>
      <c r="D115" s="6" t="s">
        <v>108</v>
      </c>
      <c r="E115" s="18">
        <v>0.0148616</v>
      </c>
      <c r="F115" s="8">
        <v>187.68210000000002</v>
      </c>
      <c r="G115" s="9">
        <f t="shared" si="4"/>
        <v>2.7892562973600006</v>
      </c>
    </row>
    <row r="116" spans="2:7" ht="12">
      <c r="B116" s="5">
        <v>108</v>
      </c>
      <c r="C116" s="6" t="s">
        <v>192</v>
      </c>
      <c r="D116" s="6" t="s">
        <v>108</v>
      </c>
      <c r="E116" s="18">
        <v>0.00089792</v>
      </c>
      <c r="F116" s="8">
        <v>105.78</v>
      </c>
      <c r="G116" s="9">
        <f t="shared" si="4"/>
        <v>0.0949819776</v>
      </c>
    </row>
    <row r="117" spans="2:7" ht="12">
      <c r="B117" s="5">
        <v>109</v>
      </c>
      <c r="C117" s="6" t="s">
        <v>193</v>
      </c>
      <c r="D117" s="6" t="s">
        <v>108</v>
      </c>
      <c r="E117" s="18">
        <v>0.0162</v>
      </c>
      <c r="F117" s="8">
        <v>2327.16</v>
      </c>
      <c r="G117" s="9">
        <f t="shared" si="4"/>
        <v>37.699991999999995</v>
      </c>
    </row>
    <row r="118" spans="2:7" ht="12">
      <c r="B118" s="5">
        <v>110</v>
      </c>
      <c r="C118" s="6" t="s">
        <v>194</v>
      </c>
      <c r="D118" s="6" t="s">
        <v>108</v>
      </c>
      <c r="E118" s="18">
        <v>0.00179583</v>
      </c>
      <c r="F118" s="8">
        <v>51.6</v>
      </c>
      <c r="G118" s="9">
        <f t="shared" si="4"/>
        <v>0.092664828</v>
      </c>
    </row>
    <row r="119" spans="2:7" ht="12">
      <c r="B119" s="74" t="s">
        <v>56</v>
      </c>
      <c r="C119" s="75"/>
      <c r="D119" s="75"/>
      <c r="E119" s="75"/>
      <c r="F119" s="76"/>
      <c r="G119" s="10">
        <f>SUM(G110:G118)</f>
        <v>226.935594962109</v>
      </c>
    </row>
    <row r="120" spans="2:7" ht="15">
      <c r="B120" s="77" t="s">
        <v>195</v>
      </c>
      <c r="C120" s="77"/>
      <c r="D120" s="77"/>
      <c r="E120" s="77"/>
      <c r="F120" s="77"/>
      <c r="G120" s="77"/>
    </row>
    <row r="121" spans="2:7" ht="12">
      <c r="B121" s="14">
        <v>111</v>
      </c>
      <c r="C121" s="15" t="s">
        <v>196</v>
      </c>
      <c r="D121" s="15" t="s">
        <v>197</v>
      </c>
      <c r="E121" s="16">
        <v>1.146</v>
      </c>
      <c r="F121" s="17">
        <v>764.408</v>
      </c>
      <c r="G121" s="20">
        <f>E121*F121</f>
        <v>876.0115679999999</v>
      </c>
    </row>
    <row r="122" spans="2:7" ht="12">
      <c r="B122" s="5">
        <v>112</v>
      </c>
      <c r="C122" s="6" t="s">
        <v>198</v>
      </c>
      <c r="D122" s="6" t="s">
        <v>199</v>
      </c>
      <c r="E122" s="18">
        <v>1.146</v>
      </c>
      <c r="F122" s="19">
        <v>0.01</v>
      </c>
      <c r="G122" s="9">
        <f>E122*F122</f>
        <v>0.01146</v>
      </c>
    </row>
    <row r="123" spans="2:7" ht="12">
      <c r="B123" s="74" t="s">
        <v>56</v>
      </c>
      <c r="C123" s="75"/>
      <c r="D123" s="75"/>
      <c r="E123" s="75"/>
      <c r="F123" s="76"/>
      <c r="G123" s="10">
        <f>SUM(G121:G122)</f>
        <v>876.023028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19:F119"/>
    <mergeCell ref="B120:G120"/>
    <mergeCell ref="B123:F123"/>
    <mergeCell ref="B1:G1"/>
    <mergeCell ref="B4:G4"/>
    <mergeCell ref="B34:F34"/>
    <mergeCell ref="B35:G35"/>
    <mergeCell ref="B108:F108"/>
    <mergeCell ref="B109:G109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admin</cp:lastModifiedBy>
  <cp:lastPrinted>2016-12-20T00:14:32Z</cp:lastPrinted>
  <dcterms:created xsi:type="dcterms:W3CDTF">2015-02-13T10:39:27Z</dcterms:created>
  <dcterms:modified xsi:type="dcterms:W3CDTF">2017-10-30T23:55:41Z</dcterms:modified>
  <cp:category>Test result file</cp:category>
  <cp:version/>
  <cp:contentType/>
  <cp:contentStatus/>
</cp:coreProperties>
</file>