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<sst xmlns="http://schemas.openxmlformats.org/spreadsheetml/2006/main" count="390" uniqueCount="261">
  <si>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</si>
  <si>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</si>
  <si>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</si>
  <si>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</si>
  <si>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</si>
  <si>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</si>
  <si>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</si>
  <si>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</si>
  <si>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</si>
  <si>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</si>
  <si>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</si>
  <si>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</si>
  <si>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c. Плодопитомник, ул. Мичурина 7</t>
  </si>
  <si>
    <t>Восстановление (ремонт) отмостки</t>
  </si>
  <si>
    <t>100 м2 отмостки</t>
  </si>
  <si>
    <t>100 м2 окрашенной поверхности</t>
  </si>
  <si>
    <t>100 кв.м</t>
  </si>
  <si>
    <t>Заделка выбоин в цементных полах</t>
  </si>
  <si>
    <t>кв.м.</t>
  </si>
  <si>
    <t>Смена поврежденных листов асбоцементных кровель</t>
  </si>
  <si>
    <t>100 м2 сменяемого покрытия</t>
  </si>
  <si>
    <t>Простая масляная окраска дверей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</si>
  <si>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</si>
  <si>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</si>
  <si>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</si>
  <si>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</si>
  <si>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</si>
  <si>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</si>
  <si>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</si>
  <si>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Восстановление разрушенной тепловой изоляции минераловатными матами</t>
  </si>
  <si>
    <t>100 м2 восстановленного участка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</si>
  <si>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</si>
  <si>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</si>
  <si>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</si>
  <si>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</si>
  <si>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</si>
  <si>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</si>
  <si>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</si>
  <si>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</si>
  <si>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</si>
  <si>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</si>
  <si>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</si>
  <si>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</si>
  <si>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</si>
  <si>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</si>
  <si>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</si>
  <si>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</si>
  <si>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</si>
  <si>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100 м2 чердаков и подвалов</t>
  </si>
  <si>
    <t>1 000 кв.м. территории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</si>
  <si>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</si>
  <si>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</si>
  <si>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неусовершенствованным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</si>
  <si>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</si>
  <si>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неусовершенствованным покрытием 1 класса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</si>
  <si>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</si>
  <si>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</si>
  <si>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</si>
  <si>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</si>
  <si>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</si>
  <si>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</si>
  <si>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</si>
  <si>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</si>
  <si>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</si>
  <si>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</si>
  <si>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</si>
  <si>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</si>
  <si>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</si>
  <si>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</si>
  <si>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</si>
  <si>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</si>
  <si>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</si>
  <si>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</si>
  <si>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</si>
  <si>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</si>
  <si>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</si>
  <si>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</si>
  <si>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</si>
  <si>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</si>
  <si>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Бетонщик 3 разряда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</si>
  <si>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</si>
  <si>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</si>
  <si>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</si>
  <si>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</si>
  <si>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</si>
  <si>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</si>
  <si>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</si>
  <si>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</si>
  <si>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</si>
  <si>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</si>
  <si>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</si>
  <si>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</si>
  <si>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</si>
  <si>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</si>
  <si>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</si>
  <si>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</si>
  <si>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</si>
  <si>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</si>
  <si>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</si>
  <si>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</si>
  <si>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</si>
  <si>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</si>
  <si>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</si>
  <si>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</si>
  <si>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</si>
  <si>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</si>
  <si>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Стекольщик 2 разряда</t>
  </si>
  <si>
    <t>Стекольщик 3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</si>
  <si>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</si>
  <si>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</si>
  <si>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</si>
  <si>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</si>
  <si>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</si>
  <si>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 xml:space="preserve">Асфальт литой (жесткий) для покрытий тротуаров </t>
  </si>
  <si>
    <t>т</t>
  </si>
  <si>
    <t>Ацетилен газообразный технический</t>
  </si>
  <si>
    <t>м3</t>
  </si>
  <si>
    <t>Белила</t>
  </si>
  <si>
    <t>Битумы нефтяные строительные марки БН-90/10</t>
  </si>
  <si>
    <t>Болты с гайками и шайбами для санитарно-технических работ, диаметром 16 мм</t>
  </si>
  <si>
    <t xml:space="preserve">Вентили проходные фланцевые 15С22НЖ для воды и пара, давлением 4 МПа (40 кгс/см2), диаметром 50 мм </t>
  </si>
  <si>
    <t>шт.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</si>
  <si>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</si>
  <si>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</si>
  <si>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</si>
  <si>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</si>
  <si>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x60 мм</t>
  </si>
  <si>
    <t>Готовая смесь для уничтожения насекомых (порошок Абсолют Дуст)</t>
  </si>
  <si>
    <t>Детали к листам асбестоцементным волнистым обыкновенного профиля, коньковые К-1 и К-2</t>
  </si>
  <si>
    <t>100 пар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</si>
  <si>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</si>
  <si>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</si>
  <si>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</si>
  <si>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</si>
  <si>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</si>
  <si>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</si>
  <si>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</si>
  <si>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</si>
  <si>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</si>
  <si>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</si>
  <si>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</si>
  <si>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</si>
  <si>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</si>
  <si>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</si>
  <si>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</si>
  <si>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</si>
  <si>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</si>
  <si>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</si>
  <si>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</si>
  <si>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</si>
  <si>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</si>
  <si>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</si>
  <si>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</si>
  <si>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>Мастика тиоколовая строительного назначения КБ-0,5</t>
  </si>
  <si>
    <t>Маты минераловатные прошивные без обкладок М-100, толщина  40 мм</t>
  </si>
  <si>
    <t>Металлические изделия</t>
  </si>
  <si>
    <t>Мешки полиэтиленовые, 60 л</t>
  </si>
  <si>
    <t>Мыло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</si>
  <si>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</si>
  <si>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</si>
  <si>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</si>
  <si>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</si>
  <si>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</si>
  <si>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</si>
  <si>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</si>
  <si>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</si>
  <si>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</si>
  <si>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</si>
  <si>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</si>
  <si>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</si>
  <si>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Прокладки толевые уплотнительные 20 x 20 мм</t>
  </si>
  <si>
    <t>Раствор готовый кладочный цементный М100</t>
  </si>
  <si>
    <t>Раствор готовый кладочный цементный М400</t>
  </si>
  <si>
    <t>Резина листовая вулканизованная цветная</t>
  </si>
  <si>
    <t>Сгоны стальные с муфтой и контргайкой, диаметром 32 мм</t>
  </si>
  <si>
    <t>Семена газонной травы</t>
  </si>
  <si>
    <t>Сетка тканая с квадратными ячейками N 05 без покрытия</t>
  </si>
  <si>
    <t>Соединительные детали "Vestol" размером 1"</t>
  </si>
  <si>
    <t>Стекло листовое площадью до 1.0 м2, 1 группы, толщиной 3 мм марки М1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</si>
  <si>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</si>
  <si>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</si>
  <si>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</si>
  <si>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</si>
  <si>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</si>
  <si>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</si>
  <si>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</si>
  <si>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</si>
  <si>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</si>
  <si>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</si>
  <si>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Удобрения сложно-смешанные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</si>
  <si>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</si>
  <si>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</si>
  <si>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</si>
  <si>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</si>
  <si>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</si>
  <si>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</si>
  <si>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</si>
  <si>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</si>
  <si>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Штапики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</si>
  <si>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</si>
  <si>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</si>
  <si>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</si>
  <si>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</si>
  <si>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</si>
  <si>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</si>
  <si>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</si>
  <si>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</si>
  <si>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</si>
  <si>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</si>
  <si>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</si>
  <si>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</si>
  <si>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Машины/Механизмы</t>
  </si>
  <si>
    <t>Вышки телескопические 25 м</t>
  </si>
  <si>
    <t>маш.-час</t>
  </si>
  <si>
    <t>Компрессор передвижной с двигателем внутреннего сгорания</t>
  </si>
  <si>
    <t>маш.-час.</t>
  </si>
  <si>
    <t>1. КОНСТРУКТИВНЫЕ ЭЛЕМЕНТЫ</t>
  </si>
  <si>
    <t>1.1. Фундаменты; кирпичные , каменные, железобетонные стены</t>
  </si>
  <si>
    <t>1.2. полы</t>
  </si>
  <si>
    <t>1.3. Крыши и кровли</t>
  </si>
  <si>
    <t>1.4. Оконные и дверные проёмы</t>
  </si>
  <si>
    <t xml:space="preserve"> 1.5.Лестницы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</si>
  <si>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</si>
  <si>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</si>
  <si>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</si>
  <si>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</si>
  <si>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</si>
  <si>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Техническое обслуживание и ремонт ВДГО</t>
  </si>
  <si>
    <t>2.5. Внутридомовое электрооборудование (ООО "Электромонтаж)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</si>
  <si>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</si>
  <si>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</si>
  <si>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4. САНИТАРНОЕ СОДЕРЖАНИЕ МЕСТ ОБЩЕГО ПОЛЬЗОВАНИЯ, УБОРКА И БЛАГОУСТРОЙСТВО ПРИДОМОВОЙ ТЕРРИТОРИИ</t>
  </si>
  <si>
    <t>Общая площадь МКД, м2</t>
  </si>
  <si>
    <t>ТАРИФ,  руб/кв.м. в мес.</t>
  </si>
  <si>
    <t>Исп.  Зам.ген.директора по ЖКХ ЗАО "Амурплодсемпром"</t>
  </si>
  <si>
    <t>И.А. Тимакова</t>
  </si>
  <si>
    <t>Уполномоченный представитель с правом подписи _________________________  Заева Наталья Владимировка</t>
  </si>
  <si>
    <t>Подметание в летний период  земельного участка с неусовершенствованным покрытием 1 класса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</si>
  <si>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</si>
  <si>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Окраска ранее окрашенных поверхностей потолков</t>
  </si>
  <si>
    <t>Простая масляная окраска ранее окрашенных поверхностей стен</t>
  </si>
  <si>
    <t>Проверка состояния  окон и дверей подъездов, подвалов , запорных устройств на них. Проверка целосности оконных и дверных заполнений Устранение выявленных неисправностей.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</si>
  <si>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</si>
  <si>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</si>
  <si>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</si>
  <si>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</si>
  <si>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Уборка чердаков и подвалов </t>
  </si>
  <si>
    <t>Услуги по сбору и  транспортировке ТБО населения</t>
  </si>
  <si>
    <t>1000 м2  общей площади жилых помещений</t>
  </si>
  <si>
    <t>Смета расходов. Список работ (услуг) по надлежащему содержанию общего имущества МКД. Расчет стоимости работ (услуг)на 2017-2018 г.г.</t>
  </si>
  <si>
    <t>Техническое обслуживание ОДПУ (тепло, вода),  проверка наличия и нарушения пломб. Проверка работоспособности запорной арматуры и очистка фильтра.Снятие и запись показаний с вычислителя в журнал.</t>
  </si>
  <si>
    <t>Обслуживание электрических сетей, профилактический осмотр, замена вышедших из строя элементов электрооборудования. Замена межэтажных светильников.</t>
  </si>
  <si>
    <t>Текущий ремонт водянных подогревателей. Замена секции скоростного водоподогревателя</t>
  </si>
  <si>
    <t>Перечень услуг и работ на 2017-18г.г. определён в соответствии с АКТОМ технического состояния дома № 7 по ул. Мичурина от "_______" _____________________ 2017г.</t>
  </si>
  <si>
    <t>Перечень услуг и работ определён в соответствии с минимальным перечнем работ, необходимых для  обеспечения надлежащего содержания общего имущества  и утверждён собственниками жилых помещений дома № 7 по ул. Мичурина  "_______" ____________________ 2017г.</t>
  </si>
  <si>
    <t>Мытье  лестничных площадок и маршей нижних трех этажей (в доме без лифтов и мусоропровода)</t>
  </si>
  <si>
    <t xml:space="preserve">100 м2  мест общего пользования  </t>
  </si>
  <si>
    <t>Мытье  лестничных площадок и маршей  выше третьего этажа (в доме без лифтов и мусоропровода)</t>
  </si>
  <si>
    <t>Дезинсекция подвалов</t>
  </si>
  <si>
    <t>100 м2  подвалов</t>
  </si>
  <si>
    <t xml:space="preserve"> Благоустройство придомовой территории: покраска элементов зон отдыха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</si>
</sst>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5"/>
      <color indexed="10"/>
      <name val="Courier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right" vertical="center"/>
      <protection/>
    </xf>
    <xf numFmtId="4" fontId="0" fillId="0" borderId="26" xfId="0" applyNumberForma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4" fontId="0" fillId="0" borderId="27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28" xfId="0" applyNumberForma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4" fontId="0" fillId="0" borderId="30" xfId="0" applyNumberFormat="1" applyFill="1" applyBorder="1" applyAlignment="1" applyProtection="1">
      <alignment horizontal="right" vertical="center"/>
      <protection/>
    </xf>
    <xf numFmtId="4" fontId="0" fillId="0" borderId="31" xfId="0" applyNumberForma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left" vertic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4" fontId="4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1" zoomScaleNormal="71" zoomScalePageLayoutView="0" workbookViewId="0" topLeftCell="B46">
      <selection activeCell="T9" sqref="T9"/>
    </sheetView>
  </sheetViews>
  <sheetFormatPr defaultColWidth="9.140625" defaultRowHeight="12"/>
  <cols>
    <col min="1" max="1" width="0" style="0" hidden="1" customWidth="1"/>
    <col min="2" max="2" width="5.5742187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1.00390625" style="0" customWidth="1"/>
    <col min="15" max="15" width="10.57421875" style="0" customWidth="1"/>
  </cols>
  <sheetData>
    <row r="1" spans="2:13" ht="46.5" customHeight="1" thickBot="1">
      <c r="B1" s="75" t="s">
        <v>249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5" ht="20.25" thickBot="1">
      <c r="B2" s="76" t="s">
        <v>12</v>
      </c>
      <c r="C2" s="77"/>
      <c r="D2" s="77"/>
      <c r="E2" s="78"/>
      <c r="F2" s="78"/>
      <c r="G2" s="79"/>
      <c r="H2" s="79"/>
      <c r="I2" s="79"/>
      <c r="J2" s="79"/>
      <c r="K2" s="79"/>
      <c r="L2" s="79"/>
      <c r="M2" s="80"/>
      <c r="N2" s="55"/>
      <c r="O2" s="56"/>
    </row>
    <row r="3" spans="1:15" ht="41.25" thickBot="1">
      <c r="A3" s="1"/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55"/>
      <c r="O3" s="56"/>
    </row>
    <row r="4" spans="2:15" ht="19.5" customHeight="1">
      <c r="B4" s="86" t="s">
        <v>216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85"/>
      <c r="N4" s="26"/>
      <c r="O4" s="30"/>
    </row>
    <row r="5" spans="2:13" ht="15.75" customHeight="1">
      <c r="B5" s="87" t="s">
        <v>217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2:13" ht="12">
      <c r="B6" s="5">
        <v>1</v>
      </c>
      <c r="C6" s="6" t="s">
        <v>13</v>
      </c>
      <c r="D6" s="6" t="s">
        <v>14</v>
      </c>
      <c r="E6" s="7">
        <v>0</v>
      </c>
      <c r="F6" s="7">
        <v>0</v>
      </c>
      <c r="G6" s="8">
        <v>0</v>
      </c>
      <c r="H6" s="8">
        <v>0</v>
      </c>
      <c r="I6" s="8">
        <v>0</v>
      </c>
      <c r="J6" s="8">
        <v>0</v>
      </c>
      <c r="K6" s="8">
        <f>0*E6*F6</f>
        <v>0</v>
      </c>
      <c r="L6" s="8">
        <v>0</v>
      </c>
      <c r="M6" s="9">
        <v>0</v>
      </c>
    </row>
    <row r="7" spans="2:13" ht="53.25" customHeight="1">
      <c r="B7" s="5">
        <v>3</v>
      </c>
      <c r="C7" s="6" t="s">
        <v>238</v>
      </c>
      <c r="D7" s="6" t="s">
        <v>15</v>
      </c>
      <c r="E7" s="27">
        <v>0.8</v>
      </c>
      <c r="F7" s="28">
        <v>1</v>
      </c>
      <c r="G7" s="29">
        <f>954.8396*E7*F7-170+1293.7</f>
        <v>1887.57168</v>
      </c>
      <c r="H7" s="29">
        <f>1329.7566011664*E7*F7+15%+600</f>
        <v>1663.95528093312</v>
      </c>
      <c r="I7" s="29">
        <f>0*E7*F7</f>
        <v>0</v>
      </c>
      <c r="J7" s="29">
        <f>718.0393792*E7*F7-130+975.86</f>
        <v>1420.29150336</v>
      </c>
      <c r="K7" s="29">
        <f>0*E7*F7</f>
        <v>0</v>
      </c>
      <c r="L7" s="29">
        <f>525.16178*E7*F7-130+711.53</f>
        <v>1001.659424</v>
      </c>
      <c r="M7" s="29">
        <f>SUM(G7:L7)</f>
        <v>5973.4778882931205</v>
      </c>
    </row>
    <row r="8" spans="2:17" ht="27.75" customHeight="1">
      <c r="B8" s="5">
        <v>4</v>
      </c>
      <c r="C8" s="6" t="s">
        <v>240</v>
      </c>
      <c r="D8" s="6" t="s">
        <v>15</v>
      </c>
      <c r="E8" s="7">
        <v>0.8</v>
      </c>
      <c r="F8" s="7">
        <v>1</v>
      </c>
      <c r="G8" s="8">
        <f>954.8396*E8*F8</f>
        <v>763.8716800000001</v>
      </c>
      <c r="H8" s="8">
        <f>1329.7566011664*E8*F8</f>
        <v>1063.80528093312</v>
      </c>
      <c r="I8" s="8">
        <f>0*E8*F8</f>
        <v>0</v>
      </c>
      <c r="J8" s="8">
        <f>718.0393792*E8*F8</f>
        <v>574.43150336</v>
      </c>
      <c r="K8" s="8">
        <f>0*E8*F8</f>
        <v>0</v>
      </c>
      <c r="L8" s="8">
        <f>631.47755*E8*F8</f>
        <v>505.18204</v>
      </c>
      <c r="M8" s="9">
        <f>SUM(G8:L8)</f>
        <v>2907.29050429312</v>
      </c>
      <c r="N8" s="26"/>
      <c r="O8" s="30"/>
      <c r="Q8" s="26"/>
    </row>
    <row r="9" spans="2:15" ht="27" customHeight="1">
      <c r="B9" s="5">
        <v>5</v>
      </c>
      <c r="C9" s="6" t="s">
        <v>239</v>
      </c>
      <c r="D9" s="6" t="s">
        <v>16</v>
      </c>
      <c r="E9" s="7">
        <v>0.8</v>
      </c>
      <c r="F9" s="7">
        <v>1</v>
      </c>
      <c r="G9" s="8">
        <f>1175.1872*E9*F9</f>
        <v>940.1497600000001</v>
      </c>
      <c r="H9" s="8">
        <f>433.123976703*E9*F9</f>
        <v>346.4991813624</v>
      </c>
      <c r="I9" s="8">
        <f>0*E9*F9</f>
        <v>0</v>
      </c>
      <c r="J9" s="8">
        <f>883.7407744*E9*F9</f>
        <v>706.9926195200001</v>
      </c>
      <c r="K9" s="8">
        <f>0*E9*F9</f>
        <v>0</v>
      </c>
      <c r="L9" s="8">
        <f>631.47755*E9*F9</f>
        <v>505.18204</v>
      </c>
      <c r="M9" s="9">
        <f>SUM(G9:L9)</f>
        <v>2498.8236008824</v>
      </c>
      <c r="O9" s="30"/>
    </row>
    <row r="10" spans="2:13" ht="15.75">
      <c r="B10" s="83" t="s">
        <v>218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84"/>
    </row>
    <row r="11" spans="2:13" ht="12">
      <c r="B11" s="5">
        <v>6</v>
      </c>
      <c r="C11" s="6" t="s">
        <v>17</v>
      </c>
      <c r="D11" s="6" t="s">
        <v>18</v>
      </c>
      <c r="E11" s="7">
        <v>2</v>
      </c>
      <c r="F11" s="7">
        <v>1</v>
      </c>
      <c r="G11" s="8">
        <f>153.6264*E11*F11</f>
        <v>307.2528</v>
      </c>
      <c r="H11" s="8">
        <f>115.107216*E11*F11</f>
        <v>230.214432</v>
      </c>
      <c r="I11" s="8">
        <f>0*E11*F11</f>
        <v>0</v>
      </c>
      <c r="J11" s="8">
        <f>115.5270528*E11*F11</f>
        <v>231.0541056</v>
      </c>
      <c r="K11" s="8">
        <f>0*E11*F11</f>
        <v>0</v>
      </c>
      <c r="L11" s="8">
        <f>84.49452*E11*F11</f>
        <v>168.98904</v>
      </c>
      <c r="M11" s="9">
        <f>SUM(G11:L11)</f>
        <v>937.5103775999999</v>
      </c>
    </row>
    <row r="12" spans="2:13" ht="15.75">
      <c r="B12" s="83" t="s">
        <v>219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84"/>
    </row>
    <row r="13" spans="2:13" ht="24">
      <c r="B13" s="5">
        <v>7</v>
      </c>
      <c r="C13" s="6" t="s">
        <v>19</v>
      </c>
      <c r="D13" s="6" t="s">
        <v>20</v>
      </c>
      <c r="E13" s="7">
        <v>0</v>
      </c>
      <c r="F13" s="7">
        <v>0</v>
      </c>
      <c r="G13" s="8">
        <f>7560.7098*E13*F13</f>
        <v>0</v>
      </c>
      <c r="H13" s="8">
        <f>36899.69876592*E13*F13</f>
        <v>0</v>
      </c>
      <c r="I13" s="8">
        <f>0*E13*F13</f>
        <v>0</v>
      </c>
      <c r="J13" s="8">
        <f>5685.6537696*E13*F13</f>
        <v>0</v>
      </c>
      <c r="K13" s="8">
        <f>0*E13*F13</f>
        <v>0</v>
      </c>
      <c r="L13" s="8">
        <f>4158.39039*E13*F13</f>
        <v>0</v>
      </c>
      <c r="M13" s="9">
        <f>SUM(G13:L13)</f>
        <v>0</v>
      </c>
    </row>
    <row r="14" spans="2:13" ht="15.75">
      <c r="B14" s="83" t="s">
        <v>220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84"/>
    </row>
    <row r="15" spans="2:13" ht="54.75" customHeight="1">
      <c r="B15" s="5">
        <v>8</v>
      </c>
      <c r="C15" s="31" t="s">
        <v>241</v>
      </c>
      <c r="D15" s="6" t="s">
        <v>42</v>
      </c>
      <c r="E15" s="27">
        <v>1.68</v>
      </c>
      <c r="F15" s="28">
        <v>2</v>
      </c>
      <c r="G15" s="8">
        <f>63.06768*E15*F15+500</f>
        <v>711.9074048</v>
      </c>
      <c r="H15" s="8">
        <v>630.43</v>
      </c>
      <c r="I15" s="8">
        <f>0*E15*F15</f>
        <v>0</v>
      </c>
      <c r="J15" s="8">
        <f>47.42689536*E15*F15+500</f>
        <v>659.3543684096</v>
      </c>
      <c r="K15" s="8">
        <f>0*E15*F15</f>
        <v>0</v>
      </c>
      <c r="L15" s="8">
        <f>34.687224*E15*F15+300</f>
        <v>416.54907263999996</v>
      </c>
      <c r="M15" s="9">
        <f>SUM(G15:L15)</f>
        <v>2418.2408458496</v>
      </c>
    </row>
    <row r="16" spans="2:13" ht="12">
      <c r="B16" s="5">
        <v>9</v>
      </c>
      <c r="C16" s="6" t="s">
        <v>21</v>
      </c>
      <c r="D16" s="6" t="s">
        <v>22</v>
      </c>
      <c r="E16" s="7">
        <v>0.192</v>
      </c>
      <c r="F16" s="7">
        <v>1</v>
      </c>
      <c r="G16" s="8">
        <f>7785.6152*E16*F16</f>
        <v>1494.8381184</v>
      </c>
      <c r="H16" s="8">
        <f>2018.80631544*E16*F16+58.14</f>
        <v>445.75081256448</v>
      </c>
      <c r="I16" s="8">
        <f>0*E16*F16</f>
        <v>0</v>
      </c>
      <c r="J16" s="8">
        <f>5854.7826304*E16*F16</f>
        <v>1124.1182650368</v>
      </c>
      <c r="K16" s="8">
        <f>0*E16*F16</f>
        <v>0</v>
      </c>
      <c r="L16" s="8">
        <f>3503.52684*E16*F16</f>
        <v>672.67715328</v>
      </c>
      <c r="M16" s="9">
        <f>SUM(G16:L16)</f>
        <v>3737.38434928128</v>
      </c>
    </row>
    <row r="17" spans="2:13" ht="15.75">
      <c r="B17" s="83" t="s">
        <v>221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84"/>
    </row>
    <row r="18" spans="2:13" ht="36">
      <c r="B18" s="5">
        <v>10</v>
      </c>
      <c r="C18" s="6" t="s">
        <v>23</v>
      </c>
      <c r="D18" s="6" t="s">
        <v>24</v>
      </c>
      <c r="E18" s="7">
        <v>0.122</v>
      </c>
      <c r="F18" s="7">
        <v>1</v>
      </c>
      <c r="G18" s="8">
        <f>10240.44609*E18*F18</f>
        <v>1249.33442298</v>
      </c>
      <c r="H18" s="8">
        <f>1181.87936208*E18*F18</f>
        <v>144.18928217376</v>
      </c>
      <c r="I18" s="8">
        <f>0*E18*F18</f>
        <v>0</v>
      </c>
      <c r="J18" s="8">
        <f>7700.81545968*E18*F18-200</f>
        <v>739.49948608096</v>
      </c>
      <c r="K18" s="8">
        <f>0*E18*F18</f>
        <v>0</v>
      </c>
      <c r="L18" s="8">
        <f>5632.2453495*E18*F18</f>
        <v>687.133932639</v>
      </c>
      <c r="M18" s="9">
        <f>SUM(G18:L18)</f>
        <v>2820.1571238737197</v>
      </c>
    </row>
    <row r="19" spans="2:13" ht="24">
      <c r="B19" s="5">
        <v>11</v>
      </c>
      <c r="C19" s="6" t="s">
        <v>25</v>
      </c>
      <c r="D19" s="6" t="s">
        <v>15</v>
      </c>
      <c r="E19" s="7">
        <v>0.477</v>
      </c>
      <c r="F19" s="7">
        <v>1</v>
      </c>
      <c r="G19" s="8">
        <f>6145.056*E19*F19</f>
        <v>2931.191712</v>
      </c>
      <c r="H19" s="8">
        <f>1397.1015018*E19*F19+48+300</f>
        <v>1014.4174163586</v>
      </c>
      <c r="I19" s="8">
        <f>0*E19*F19</f>
        <v>0</v>
      </c>
      <c r="J19" s="8">
        <f>4621.082112*E19*F19-500</f>
        <v>1704.256167424</v>
      </c>
      <c r="K19" s="8">
        <f>0*E19*F19</f>
        <v>0</v>
      </c>
      <c r="L19" s="8">
        <f>3379.7808*E19*F19-300</f>
        <v>1312.1554416</v>
      </c>
      <c r="M19" s="9">
        <f>SUM(G19:L19)</f>
        <v>6962.0207373826</v>
      </c>
    </row>
    <row r="20" spans="2:14" ht="24">
      <c r="B20" s="5">
        <v>12</v>
      </c>
      <c r="C20" s="6" t="s">
        <v>26</v>
      </c>
      <c r="D20" s="6" t="s">
        <v>27</v>
      </c>
      <c r="E20" s="32">
        <v>0.36</v>
      </c>
      <c r="F20" s="7">
        <v>1</v>
      </c>
      <c r="G20" s="8">
        <f>2005.2288*E20*F20</f>
        <v>721.882368</v>
      </c>
      <c r="H20" s="8">
        <f>308.253104292*E20*F20</f>
        <v>110.97111754512</v>
      </c>
      <c r="I20" s="8">
        <f>0*E20*F20</f>
        <v>0</v>
      </c>
      <c r="J20" s="8">
        <f>1507.9320576*E20*F20</f>
        <v>542.855540736</v>
      </c>
      <c r="K20" s="8">
        <f>0*E20*F20</f>
        <v>0</v>
      </c>
      <c r="L20" s="8">
        <f>902.35296*E20*F20</f>
        <v>324.8470656</v>
      </c>
      <c r="M20" s="9">
        <f>SUM(G20:L20)</f>
        <v>1700.55609188112</v>
      </c>
      <c r="N20" s="26"/>
    </row>
    <row r="21" spans="2:15" ht="15">
      <c r="B21" s="65" t="s">
        <v>222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5"/>
      <c r="N21" s="26"/>
      <c r="O21" s="30"/>
    </row>
    <row r="22" spans="2:15" ht="15.75">
      <c r="B22" s="83" t="s">
        <v>223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84"/>
      <c r="N22" s="26"/>
      <c r="O22" s="30"/>
    </row>
    <row r="23" spans="2:15" ht="24">
      <c r="B23" s="5">
        <v>13</v>
      </c>
      <c r="C23" s="6" t="s">
        <v>252</v>
      </c>
      <c r="D23" s="6" t="s">
        <v>28</v>
      </c>
      <c r="E23" s="7">
        <v>1</v>
      </c>
      <c r="F23" s="7">
        <v>2</v>
      </c>
      <c r="G23" s="8">
        <f>1235.7492*E23*F23+1100</f>
        <v>3571.4984</v>
      </c>
      <c r="H23" s="8">
        <f>4796.27748103*E23*F23-6500+45000</f>
        <v>48092.55496206</v>
      </c>
      <c r="I23" s="8">
        <f>0*E23*F23</f>
        <v>0</v>
      </c>
      <c r="J23" s="8">
        <f>929.2833984*E23*F23+1000</f>
        <v>2858.5667968</v>
      </c>
      <c r="K23" s="8">
        <f>0*E23*F23</f>
        <v>0</v>
      </c>
      <c r="L23" s="8">
        <f>679.66206*E23*F23</f>
        <v>1359.32412</v>
      </c>
      <c r="M23" s="9">
        <f>SUM(G23:L23)</f>
        <v>55881.94427885999</v>
      </c>
      <c r="N23" s="26"/>
      <c r="O23" s="30"/>
    </row>
    <row r="24" spans="2:15" ht="36">
      <c r="B24" s="5">
        <v>14</v>
      </c>
      <c r="C24" s="6" t="s">
        <v>29</v>
      </c>
      <c r="D24" s="6" t="s">
        <v>30</v>
      </c>
      <c r="E24" s="7">
        <v>0.2</v>
      </c>
      <c r="F24" s="7">
        <v>1</v>
      </c>
      <c r="G24" s="8">
        <f>9474.9468*E24*F24-600+200+100</f>
        <v>1594.98936</v>
      </c>
      <c r="H24" s="8">
        <f>1321.0766031*E24*F24+600+100</f>
        <v>964.21532062</v>
      </c>
      <c r="I24" s="8">
        <f>0*E24*F24</f>
        <v>0</v>
      </c>
      <c r="J24" s="8">
        <f>7125.1599936*E24*F24-300</f>
        <v>1125.03199872</v>
      </c>
      <c r="K24" s="8">
        <f>0*E24*F24</f>
        <v>0</v>
      </c>
      <c r="L24" s="8">
        <f>5211.22074*E24*F24-606.31</f>
        <v>435.93414800000005</v>
      </c>
      <c r="M24" s="9">
        <f>SUM(G24:L24)</f>
        <v>4120.17082734</v>
      </c>
      <c r="O24" s="30"/>
    </row>
    <row r="25" spans="2:15" ht="15.75">
      <c r="B25" s="83" t="s">
        <v>224</v>
      </c>
      <c r="C25" s="62"/>
      <c r="D25" s="62"/>
      <c r="E25" s="62"/>
      <c r="F25" s="62"/>
      <c r="G25" s="60"/>
      <c r="H25" s="60"/>
      <c r="I25" s="60"/>
      <c r="J25" s="60"/>
      <c r="K25" s="60"/>
      <c r="L25" s="60"/>
      <c r="M25" s="61"/>
      <c r="N25" s="26"/>
      <c r="O25" s="30"/>
    </row>
    <row r="26" spans="2:15" ht="24">
      <c r="B26" s="5">
        <v>15</v>
      </c>
      <c r="C26" s="6" t="s">
        <v>31</v>
      </c>
      <c r="D26" s="6" t="s">
        <v>32</v>
      </c>
      <c r="E26" s="7">
        <v>0.08</v>
      </c>
      <c r="F26" s="7">
        <v>1</v>
      </c>
      <c r="G26" s="8">
        <f>25915.74904*E26*F26</f>
        <v>2073.2599232</v>
      </c>
      <c r="H26" s="8">
        <f>71208.708855*E26*F26</f>
        <v>5696.696708400001</v>
      </c>
      <c r="I26" s="8">
        <f>0*E26*F26</f>
        <v>0</v>
      </c>
      <c r="J26" s="8">
        <f>19488.64327808*E26*F26</f>
        <v>1559.0914622464</v>
      </c>
      <c r="K26" s="8">
        <f>0*E26*F26</f>
        <v>0</v>
      </c>
      <c r="L26" s="8">
        <f>14253.661972*E26*F26</f>
        <v>1140.29295776</v>
      </c>
      <c r="M26" s="9">
        <f>SUM(G26:L26)</f>
        <v>10469.341051606401</v>
      </c>
      <c r="O26" s="30"/>
    </row>
    <row r="27" spans="2:15" ht="15.75">
      <c r="B27" s="59" t="s">
        <v>225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26"/>
      <c r="O27" s="30"/>
    </row>
    <row r="28" spans="2:15" ht="36">
      <c r="B28" s="5">
        <v>16</v>
      </c>
      <c r="C28" s="6" t="s">
        <v>33</v>
      </c>
      <c r="D28" s="6" t="s">
        <v>32</v>
      </c>
      <c r="E28" s="7">
        <v>0.08</v>
      </c>
      <c r="F28" s="7">
        <v>1</v>
      </c>
      <c r="G28" s="8">
        <f>40467.29664*E28*F28</f>
        <v>3237.3837312</v>
      </c>
      <c r="H28" s="8">
        <f>123715.1507943*E28*F28</f>
        <v>9897.212063544</v>
      </c>
      <c r="I28" s="8">
        <f>0*E28*F28</f>
        <v>0</v>
      </c>
      <c r="J28" s="8">
        <f>30431.40707328*E28*F28</f>
        <v>2434.5125658624</v>
      </c>
      <c r="K28" s="8">
        <f>0*E28*F28</f>
        <v>0</v>
      </c>
      <c r="L28" s="8">
        <f>22257.013152*E28*F28</f>
        <v>1780.56105216</v>
      </c>
      <c r="M28" s="9">
        <f>SUM(G28:L28)</f>
        <v>17349.6694127664</v>
      </c>
      <c r="O28" s="30"/>
    </row>
    <row r="29" spans="2:15" ht="24">
      <c r="B29" s="5">
        <v>17</v>
      </c>
      <c r="C29" s="6" t="s">
        <v>34</v>
      </c>
      <c r="D29" s="6" t="s">
        <v>35</v>
      </c>
      <c r="E29" s="7">
        <v>0.2</v>
      </c>
      <c r="F29" s="7">
        <v>4</v>
      </c>
      <c r="G29" s="8">
        <f>1783.054*E29*F29</f>
        <v>1426.4432000000002</v>
      </c>
      <c r="H29" s="8">
        <f>541.6781595*E29*F29</f>
        <v>433.34252760000004</v>
      </c>
      <c r="I29" s="8">
        <f>0*E29*F29</f>
        <v>0</v>
      </c>
      <c r="J29" s="8">
        <f>1340.856608*E29*F29</f>
        <v>1072.6852864</v>
      </c>
      <c r="K29" s="8">
        <f>0*E29*F29</f>
        <v>0</v>
      </c>
      <c r="L29" s="8">
        <f>980.6797*E29*F29</f>
        <v>784.54376</v>
      </c>
      <c r="M29" s="9">
        <f>SUM(G29:L29)</f>
        <v>3717.014774</v>
      </c>
      <c r="O29" s="30"/>
    </row>
    <row r="30" spans="2:15" ht="15.75">
      <c r="B30" s="62" t="s">
        <v>226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26"/>
      <c r="O30" s="30"/>
    </row>
    <row r="31" spans="2:15" ht="12">
      <c r="B31" s="5">
        <v>18</v>
      </c>
      <c r="C31" s="6" t="s">
        <v>227</v>
      </c>
      <c r="D31" s="6" t="s">
        <v>44</v>
      </c>
      <c r="E31" s="7">
        <v>0</v>
      </c>
      <c r="F31" s="7">
        <v>0</v>
      </c>
      <c r="G31" s="8">
        <v>0</v>
      </c>
      <c r="H31" s="8">
        <f>0*E31*F31</f>
        <v>0</v>
      </c>
      <c r="I31" s="8">
        <f>0*E31*F31</f>
        <v>0</v>
      </c>
      <c r="J31" s="8">
        <f>0*F31*G31</f>
        <v>0</v>
      </c>
      <c r="K31" s="8">
        <f>0*E31*F31</f>
        <v>0</v>
      </c>
      <c r="L31" s="8">
        <v>0</v>
      </c>
      <c r="M31" s="9">
        <f>SUM(G31:L31)</f>
        <v>0</v>
      </c>
      <c r="O31" s="30"/>
    </row>
    <row r="32" spans="2:15" ht="15.75">
      <c r="B32" s="62" t="s">
        <v>228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26"/>
      <c r="O32" s="30"/>
    </row>
    <row r="33" spans="2:15" ht="48">
      <c r="B33" s="35">
        <v>19</v>
      </c>
      <c r="C33" s="36" t="s">
        <v>251</v>
      </c>
      <c r="D33" s="37" t="s">
        <v>42</v>
      </c>
      <c r="E33" s="38">
        <v>1.688</v>
      </c>
      <c r="F33" s="38">
        <v>12</v>
      </c>
      <c r="G33" s="39">
        <v>18000</v>
      </c>
      <c r="H33" s="39">
        <f>1344</f>
        <v>1344</v>
      </c>
      <c r="I33" s="39">
        <f>0*E33*F33</f>
        <v>0</v>
      </c>
      <c r="J33" s="39">
        <v>0</v>
      </c>
      <c r="K33" s="39">
        <f>0*E33*F33</f>
        <v>0</v>
      </c>
      <c r="L33" s="39">
        <f>5399.79-4000</f>
        <v>1399.79</v>
      </c>
      <c r="M33" s="40">
        <f>SUM(G33:L33)</f>
        <v>20743.79</v>
      </c>
      <c r="O33" s="30"/>
    </row>
    <row r="34" spans="2:15" ht="12">
      <c r="B34" s="41"/>
      <c r="C34" s="42"/>
      <c r="D34" s="43"/>
      <c r="E34" s="28"/>
      <c r="F34" s="28"/>
      <c r="G34" s="29"/>
      <c r="H34" s="29"/>
      <c r="I34" s="29"/>
      <c r="J34" s="29"/>
      <c r="K34" s="29"/>
      <c r="L34" s="29"/>
      <c r="M34" s="44"/>
      <c r="O34" s="30"/>
    </row>
    <row r="35" spans="2:15" ht="15.75">
      <c r="B35" s="59" t="s">
        <v>229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4"/>
      <c r="N35" s="26"/>
      <c r="O35" s="30"/>
    </row>
    <row r="36" spans="2:15" ht="24">
      <c r="B36" s="5">
        <v>20</v>
      </c>
      <c r="C36" s="6" t="s">
        <v>36</v>
      </c>
      <c r="D36" s="6" t="s">
        <v>37</v>
      </c>
      <c r="E36" s="7">
        <v>1.688</v>
      </c>
      <c r="F36" s="7">
        <v>1</v>
      </c>
      <c r="G36" s="8">
        <f>63.06768*E36*F36</f>
        <v>106.45824384</v>
      </c>
      <c r="H36" s="8">
        <f>0*E36*F36</f>
        <v>0</v>
      </c>
      <c r="I36" s="8">
        <f>0*E36*F36</f>
        <v>0</v>
      </c>
      <c r="J36" s="8">
        <f>47.42689536*E36*F36</f>
        <v>80.05659936768001</v>
      </c>
      <c r="K36" s="8">
        <f aca="true" t="shared" si="0" ref="K36:K42">0*E36*F36</f>
        <v>0</v>
      </c>
      <c r="L36" s="8">
        <f>28.380456*E36*F36</f>
        <v>47.90620972799999</v>
      </c>
      <c r="M36" s="9">
        <f aca="true" t="shared" si="1" ref="M36:M42">SUM(G36:L36)</f>
        <v>234.42105293568</v>
      </c>
      <c r="N36" s="26"/>
      <c r="O36" s="30"/>
    </row>
    <row r="37" spans="2:13" ht="51" customHeight="1">
      <c r="B37" s="5">
        <v>21</v>
      </c>
      <c r="C37" s="22" t="s">
        <v>242</v>
      </c>
      <c r="D37" s="6" t="s">
        <v>38</v>
      </c>
      <c r="E37" s="7">
        <v>0.6</v>
      </c>
      <c r="F37" s="7">
        <v>2</v>
      </c>
      <c r="G37" s="8">
        <v>1515.91</v>
      </c>
      <c r="H37" s="8">
        <v>654.7</v>
      </c>
      <c r="I37" s="8">
        <v>1800</v>
      </c>
      <c r="J37" s="8">
        <v>1387.96</v>
      </c>
      <c r="K37" s="8">
        <f t="shared" si="0"/>
        <v>0</v>
      </c>
      <c r="L37" s="8">
        <v>283.75</v>
      </c>
      <c r="M37" s="9">
        <f t="shared" si="1"/>
        <v>5642.32</v>
      </c>
    </row>
    <row r="38" spans="2:13" ht="54" customHeight="1">
      <c r="B38" s="5">
        <v>22</v>
      </c>
      <c r="C38" s="22" t="s">
        <v>243</v>
      </c>
      <c r="D38" s="6" t="s">
        <v>39</v>
      </c>
      <c r="E38" s="7">
        <v>0.36</v>
      </c>
      <c r="F38" s="7">
        <v>2</v>
      </c>
      <c r="G38" s="8">
        <f>10592.136*E38*F38-100</f>
        <v>7526.33792</v>
      </c>
      <c r="H38" s="8">
        <v>3225</v>
      </c>
      <c r="I38" s="8">
        <f>0*E38*F38</f>
        <v>0</v>
      </c>
      <c r="J38" s="8">
        <f>7965.286272*E38*F38</f>
        <v>5735.00611584</v>
      </c>
      <c r="K38" s="8">
        <f t="shared" si="0"/>
        <v>0</v>
      </c>
      <c r="L38" s="8">
        <f>5825.6748*E38*F38-2100</f>
        <v>2094.4858559999993</v>
      </c>
      <c r="M38" s="9">
        <f t="shared" si="1"/>
        <v>18580.82989184</v>
      </c>
    </row>
    <row r="39" spans="2:13" ht="12">
      <c r="B39" s="5">
        <v>23</v>
      </c>
      <c r="C39" s="6" t="s">
        <v>40</v>
      </c>
      <c r="D39" s="6" t="s">
        <v>41</v>
      </c>
      <c r="E39" s="7">
        <v>66.22</v>
      </c>
      <c r="F39" s="7">
        <v>1</v>
      </c>
      <c r="G39" s="8">
        <f>153.585972*E39*F39-1679</f>
        <v>8491.46306584</v>
      </c>
      <c r="H39" s="8">
        <f>0*E39*F39</f>
        <v>0</v>
      </c>
      <c r="I39" s="8">
        <f>0*E39*F39</f>
        <v>0</v>
      </c>
      <c r="J39" s="8">
        <f>115.496650944*E39*F39-5500</f>
        <v>2148.18822551168</v>
      </c>
      <c r="K39" s="8">
        <f t="shared" si="0"/>
        <v>0</v>
      </c>
      <c r="L39" s="8">
        <f>84.4722846*E39*F39-1000</f>
        <v>4593.754686212</v>
      </c>
      <c r="M39" s="9">
        <f t="shared" si="1"/>
        <v>15233.40597756368</v>
      </c>
    </row>
    <row r="40" spans="2:15" ht="24">
      <c r="B40" s="5">
        <v>24</v>
      </c>
      <c r="C40" s="6" t="s">
        <v>43</v>
      </c>
      <c r="D40" s="6" t="s">
        <v>42</v>
      </c>
      <c r="E40" s="7">
        <v>1.688</v>
      </c>
      <c r="F40" s="7">
        <v>2</v>
      </c>
      <c r="G40" s="8">
        <f>679.1904*E40*F40-1000</f>
        <v>1292.9467903999998</v>
      </c>
      <c r="H40" s="8">
        <f>0*E40*F40</f>
        <v>0</v>
      </c>
      <c r="I40" s="8">
        <f>0*E40*F40</f>
        <v>0</v>
      </c>
      <c r="J40" s="8">
        <f>510.7511808*E40*F40-400</f>
        <v>1324.2959863807998</v>
      </c>
      <c r="K40" s="8">
        <f t="shared" si="0"/>
        <v>0</v>
      </c>
      <c r="L40" s="8">
        <f>305.63568*E40*F40</f>
        <v>1031.8260556799999</v>
      </c>
      <c r="M40" s="9">
        <f t="shared" si="1"/>
        <v>3649.068832460799</v>
      </c>
      <c r="O40" s="30"/>
    </row>
    <row r="41" spans="2:13" ht="48">
      <c r="B41" s="5">
        <v>25</v>
      </c>
      <c r="C41" s="22" t="s">
        <v>244</v>
      </c>
      <c r="D41" s="6" t="s">
        <v>44</v>
      </c>
      <c r="E41" s="7">
        <v>1</v>
      </c>
      <c r="F41" s="7">
        <v>2</v>
      </c>
      <c r="G41" s="8">
        <f>646.848*E41*F41+2700</f>
        <v>3993.696</v>
      </c>
      <c r="H41" s="8">
        <v>2314.49</v>
      </c>
      <c r="I41" s="8">
        <f>0*E41*F41</f>
        <v>0</v>
      </c>
      <c r="J41" s="8">
        <f>486.429696*E41*F41+1320</f>
        <v>2292.859392</v>
      </c>
      <c r="K41" s="8">
        <f t="shared" si="0"/>
        <v>0</v>
      </c>
      <c r="L41" s="8">
        <f>355.7664*E41*F41</f>
        <v>711.5328</v>
      </c>
      <c r="M41" s="9">
        <f t="shared" si="1"/>
        <v>9312.578192</v>
      </c>
    </row>
    <row r="42" spans="2:13" ht="24">
      <c r="B42" s="5">
        <v>26</v>
      </c>
      <c r="C42" s="6" t="s">
        <v>45</v>
      </c>
      <c r="D42" s="6" t="s">
        <v>46</v>
      </c>
      <c r="E42" s="7">
        <v>61.12</v>
      </c>
      <c r="F42" s="7">
        <v>1</v>
      </c>
      <c r="G42" s="8">
        <f>153.587886*E42*F42-2000</f>
        <v>7387.29159232</v>
      </c>
      <c r="H42" s="8">
        <f>9.605*E42*F42</f>
        <v>587.0576</v>
      </c>
      <c r="I42" s="8">
        <f>0*E42*F42</f>
        <v>0</v>
      </c>
      <c r="J42" s="8">
        <f>115.498090272*E42*F42-1000</f>
        <v>6059.24327742464</v>
      </c>
      <c r="K42" s="8">
        <f t="shared" si="0"/>
        <v>0</v>
      </c>
      <c r="L42" s="8">
        <f>84.4733373*E42*F42-1500</f>
        <v>3663.010375776</v>
      </c>
      <c r="M42" s="9">
        <f t="shared" si="1"/>
        <v>17696.60284552064</v>
      </c>
    </row>
    <row r="43" spans="2:13" ht="60.75" customHeight="1">
      <c r="B43" s="5">
        <v>27</v>
      </c>
      <c r="C43" s="6" t="s">
        <v>250</v>
      </c>
      <c r="D43" s="6" t="s">
        <v>47</v>
      </c>
      <c r="E43" s="7">
        <v>2</v>
      </c>
      <c r="F43" s="7">
        <v>12</v>
      </c>
      <c r="G43" s="8">
        <v>945.18</v>
      </c>
      <c r="H43" s="8">
        <v>0</v>
      </c>
      <c r="I43" s="8">
        <v>0</v>
      </c>
      <c r="J43" s="8">
        <v>710.78</v>
      </c>
      <c r="K43" s="8">
        <v>0</v>
      </c>
      <c r="L43" s="8">
        <v>425</v>
      </c>
      <c r="M43" s="8">
        <v>2081.29</v>
      </c>
    </row>
    <row r="44" spans="2:15" ht="15">
      <c r="B44" s="65" t="s">
        <v>230</v>
      </c>
      <c r="C44" s="66"/>
      <c r="D44" s="66"/>
      <c r="E44" s="66"/>
      <c r="F44" s="67"/>
      <c r="G44" s="67"/>
      <c r="H44" s="67"/>
      <c r="I44" s="67"/>
      <c r="J44" s="67"/>
      <c r="K44" s="67"/>
      <c r="L44" s="67"/>
      <c r="M44" s="68"/>
      <c r="N44" s="26"/>
      <c r="O44" s="30"/>
    </row>
    <row r="45" spans="2:13" ht="60">
      <c r="B45" s="5">
        <v>28</v>
      </c>
      <c r="C45" s="22" t="s">
        <v>245</v>
      </c>
      <c r="D45" s="6" t="s">
        <v>44</v>
      </c>
      <c r="E45" s="7">
        <v>1</v>
      </c>
      <c r="F45" s="27">
        <v>365</v>
      </c>
      <c r="G45" s="29">
        <v>5642.88</v>
      </c>
      <c r="H45" s="29">
        <f>0*E45*F45</f>
        <v>0</v>
      </c>
      <c r="I45" s="29">
        <f>0*E45*F45</f>
        <v>0</v>
      </c>
      <c r="J45" s="29">
        <f>G45*45%</f>
        <v>2539.2960000000003</v>
      </c>
      <c r="K45" s="29">
        <f>0*E45*F45</f>
        <v>0</v>
      </c>
      <c r="L45" s="29">
        <f>G45*20%</f>
        <v>1128.576</v>
      </c>
      <c r="M45" s="29">
        <f>SUM(G45:L45)</f>
        <v>9310.752</v>
      </c>
    </row>
    <row r="46" spans="2:15" ht="15">
      <c r="B46" s="65" t="s">
        <v>231</v>
      </c>
      <c r="C46" s="66"/>
      <c r="D46" s="66"/>
      <c r="E46" s="66"/>
      <c r="F46" s="81"/>
      <c r="G46" s="81"/>
      <c r="H46" s="81"/>
      <c r="I46" s="81"/>
      <c r="J46" s="81"/>
      <c r="K46" s="81"/>
      <c r="L46" s="81"/>
      <c r="M46" s="82"/>
      <c r="N46" s="26"/>
      <c r="O46" s="30"/>
    </row>
    <row r="47" spans="2:13" ht="24">
      <c r="B47" s="5">
        <v>29</v>
      </c>
      <c r="C47" s="6" t="s">
        <v>246</v>
      </c>
      <c r="D47" s="6" t="s">
        <v>48</v>
      </c>
      <c r="E47" s="7">
        <v>4.912</v>
      </c>
      <c r="F47" s="7">
        <v>1</v>
      </c>
      <c r="G47" s="8">
        <f>56.307219510372*E47*F47+300</f>
        <v>576.5810622349472</v>
      </c>
      <c r="H47" s="8">
        <f>0.183571172892*E47*F47+350</f>
        <v>350.9017016012455</v>
      </c>
      <c r="I47" s="8">
        <f>0*E47*F47</f>
        <v>0</v>
      </c>
      <c r="J47" s="8">
        <f>42.3430290718*E47*F47+200</f>
        <v>407.9889588006816</v>
      </c>
      <c r="K47" s="8">
        <f>0*E47*F47</f>
        <v>0</v>
      </c>
      <c r="L47" s="8">
        <f>30.968970730705*E47*F47+100</f>
        <v>252.11958422922297</v>
      </c>
      <c r="M47" s="9">
        <f>SUM(G47:L47)</f>
        <v>1587.5913068660973</v>
      </c>
    </row>
    <row r="48" spans="2:13" ht="24">
      <c r="B48" s="5">
        <v>30</v>
      </c>
      <c r="C48" s="6" t="s">
        <v>237</v>
      </c>
      <c r="D48" s="6" t="s">
        <v>49</v>
      </c>
      <c r="E48" s="7">
        <v>0.267</v>
      </c>
      <c r="F48" s="7">
        <v>78</v>
      </c>
      <c r="G48" s="8">
        <f>246.6108*E48*F48</f>
        <v>5135.9165208</v>
      </c>
      <c r="H48" s="8">
        <f>4.525965*E48*F48</f>
        <v>94.25774709000001</v>
      </c>
      <c r="I48" s="8">
        <f aca="true" t="shared" si="2" ref="I48:I56">0*E48*F48</f>
        <v>0</v>
      </c>
      <c r="J48" s="8">
        <f>185.4513216*E48*F48-500</f>
        <v>3362.2092236416006</v>
      </c>
      <c r="K48" s="8">
        <f aca="true" t="shared" si="3" ref="K48:K56">0*E48*F48</f>
        <v>0</v>
      </c>
      <c r="L48" s="8">
        <f>135.63594*E48*F48-500</f>
        <v>2324.7540864400003</v>
      </c>
      <c r="M48" s="9">
        <f aca="true" t="shared" si="4" ref="M48:M56">SUM(G48:L48)</f>
        <v>10917.1375779716</v>
      </c>
    </row>
    <row r="49" spans="2:13" ht="12">
      <c r="B49" s="5">
        <v>31</v>
      </c>
      <c r="C49" s="6" t="s">
        <v>50</v>
      </c>
      <c r="D49" s="6" t="s">
        <v>51</v>
      </c>
      <c r="E49" s="7">
        <v>0.03</v>
      </c>
      <c r="F49" s="7">
        <v>52</v>
      </c>
      <c r="G49" s="8">
        <f>1071.342*E49*F49</f>
        <v>1671.2935200000002</v>
      </c>
      <c r="H49" s="8">
        <f>5.5728*E49*F49+15</f>
        <v>23.693568</v>
      </c>
      <c r="I49" s="8">
        <f t="shared" si="2"/>
        <v>0</v>
      </c>
      <c r="J49" s="8">
        <f>805.649184*E49*F49-100</f>
        <v>1156.81272704</v>
      </c>
      <c r="K49" s="8">
        <f t="shared" si="3"/>
        <v>0</v>
      </c>
      <c r="L49" s="8">
        <f>589.2381*E49*F49</f>
        <v>919.211436</v>
      </c>
      <c r="M49" s="9">
        <f t="shared" si="4"/>
        <v>3771.01125104</v>
      </c>
    </row>
    <row r="50" spans="2:13" ht="36">
      <c r="B50" s="5">
        <v>32</v>
      </c>
      <c r="C50" s="6" t="s">
        <v>52</v>
      </c>
      <c r="D50" s="6" t="s">
        <v>53</v>
      </c>
      <c r="E50" s="7">
        <v>0.027</v>
      </c>
      <c r="F50" s="7">
        <v>52</v>
      </c>
      <c r="G50" s="8">
        <f>3817.7508*E50*F50</f>
        <v>5360.1221232</v>
      </c>
      <c r="H50" s="8">
        <f>72.813921*E50*F50</f>
        <v>102.23074508399999</v>
      </c>
      <c r="I50" s="8">
        <f t="shared" si="2"/>
        <v>0</v>
      </c>
      <c r="J50" s="8">
        <f>2870.9486016*E50*F50-500</f>
        <v>3530.8118366463996</v>
      </c>
      <c r="K50" s="8">
        <f t="shared" si="3"/>
        <v>0</v>
      </c>
      <c r="L50" s="8">
        <f>2099.76294*E50*F50</f>
        <v>2948.0671677600003</v>
      </c>
      <c r="M50" s="9">
        <f t="shared" si="4"/>
        <v>11941.2318726904</v>
      </c>
    </row>
    <row r="51" spans="2:13" ht="36">
      <c r="B51" s="5">
        <v>33</v>
      </c>
      <c r="C51" s="6" t="s">
        <v>54</v>
      </c>
      <c r="D51" s="6" t="s">
        <v>53</v>
      </c>
      <c r="E51" s="7">
        <v>0.027</v>
      </c>
      <c r="F51" s="7">
        <v>6</v>
      </c>
      <c r="G51" s="8">
        <f>16619.9508*E51*F51</f>
        <v>2692.4320295999996</v>
      </c>
      <c r="H51" s="8">
        <f>258.31476*E51*F51</f>
        <v>41.84699112</v>
      </c>
      <c r="I51" s="8">
        <f t="shared" si="2"/>
        <v>0</v>
      </c>
      <c r="J51" s="8">
        <f>12498.2030016*E51*F51-200</f>
        <v>1824.7088862592002</v>
      </c>
      <c r="K51" s="8">
        <f t="shared" si="3"/>
        <v>0</v>
      </c>
      <c r="L51" s="8">
        <f>9140.97294*E51*F51-37.03</f>
        <v>1443.8076162799998</v>
      </c>
      <c r="M51" s="9">
        <f t="shared" si="4"/>
        <v>6002.795523259199</v>
      </c>
    </row>
    <row r="52" spans="2:13" ht="24">
      <c r="B52" s="5">
        <v>34</v>
      </c>
      <c r="C52" s="6" t="s">
        <v>55</v>
      </c>
      <c r="D52" s="6" t="s">
        <v>16</v>
      </c>
      <c r="E52" s="7">
        <v>0.135</v>
      </c>
      <c r="F52" s="7">
        <v>52</v>
      </c>
      <c r="G52" s="8">
        <f>185.9688*E52*F52</f>
        <v>1305.500976</v>
      </c>
      <c r="H52" s="8">
        <f>0.72664797*E52*F52</f>
        <v>5.1010687494</v>
      </c>
      <c r="I52" s="8">
        <f t="shared" si="2"/>
        <v>0</v>
      </c>
      <c r="J52" s="8">
        <f>139.8485376*E52*F52</f>
        <v>981.7367339519999</v>
      </c>
      <c r="K52" s="8">
        <f t="shared" si="3"/>
        <v>0</v>
      </c>
      <c r="L52" s="8">
        <f>102.28284*E52*F52</f>
        <v>718.0255368</v>
      </c>
      <c r="M52" s="9">
        <f t="shared" si="4"/>
        <v>3010.3643155013997</v>
      </c>
    </row>
    <row r="53" spans="2:13" ht="24">
      <c r="B53" s="5">
        <v>35</v>
      </c>
      <c r="C53" s="6" t="s">
        <v>56</v>
      </c>
      <c r="D53" s="6" t="s">
        <v>16</v>
      </c>
      <c r="E53" s="7">
        <v>0.135</v>
      </c>
      <c r="F53" s="7">
        <v>52</v>
      </c>
      <c r="G53" s="8">
        <f>34.3638*E53*F53</f>
        <v>241.233876</v>
      </c>
      <c r="H53" s="8">
        <f>0.3472164*E53*F53</f>
        <v>2.437459128</v>
      </c>
      <c r="I53" s="8">
        <f t="shared" si="2"/>
        <v>0</v>
      </c>
      <c r="J53" s="8">
        <f>25.8415776*E53*F53</f>
        <v>181.407874752</v>
      </c>
      <c r="K53" s="8">
        <f t="shared" si="3"/>
        <v>0</v>
      </c>
      <c r="L53" s="8">
        <f>18.90009*E53*F53</f>
        <v>132.6786318</v>
      </c>
      <c r="M53" s="9">
        <f t="shared" si="4"/>
        <v>557.75784168</v>
      </c>
    </row>
    <row r="54" spans="2:13" ht="12">
      <c r="B54" s="5">
        <v>36</v>
      </c>
      <c r="C54" s="6" t="s">
        <v>57</v>
      </c>
      <c r="D54" s="6" t="s">
        <v>16</v>
      </c>
      <c r="E54" s="7">
        <v>0.046</v>
      </c>
      <c r="F54" s="7">
        <v>26</v>
      </c>
      <c r="G54" s="8">
        <f>808.56*E54*F54</f>
        <v>967.0377599999999</v>
      </c>
      <c r="H54" s="8">
        <f>2.58546702*E54*F54</f>
        <v>3.0922185559199997</v>
      </c>
      <c r="I54" s="8">
        <f t="shared" si="2"/>
        <v>0</v>
      </c>
      <c r="J54" s="8">
        <f>608.03712*E54*F54</f>
        <v>727.2123955199999</v>
      </c>
      <c r="K54" s="8">
        <f t="shared" si="3"/>
        <v>0</v>
      </c>
      <c r="L54" s="8">
        <f>444.708*E54*F54</f>
        <v>531.870768</v>
      </c>
      <c r="M54" s="9">
        <f t="shared" si="4"/>
        <v>2229.2131420759197</v>
      </c>
    </row>
    <row r="55" spans="2:13" ht="12">
      <c r="B55" s="5">
        <v>37</v>
      </c>
      <c r="C55" s="6" t="s">
        <v>58</v>
      </c>
      <c r="D55" s="6" t="s">
        <v>59</v>
      </c>
      <c r="E55" s="7">
        <v>0.046</v>
      </c>
      <c r="F55" s="7">
        <v>52</v>
      </c>
      <c r="G55" s="8">
        <f>327.4668*E55*F55</f>
        <v>783.3005856</v>
      </c>
      <c r="H55" s="8">
        <f>1.48608*E55*F55</f>
        <v>3.5547033600000004</v>
      </c>
      <c r="I55" s="8">
        <f t="shared" si="2"/>
        <v>0</v>
      </c>
      <c r="J55" s="8">
        <f>246.2550336*E55*F55</f>
        <v>589.0420403712</v>
      </c>
      <c r="K55" s="8">
        <f t="shared" si="3"/>
        <v>0</v>
      </c>
      <c r="L55" s="8">
        <f>180.10674*E55*F55</f>
        <v>430.81532208</v>
      </c>
      <c r="M55" s="9">
        <f t="shared" si="4"/>
        <v>1806.7126514111999</v>
      </c>
    </row>
    <row r="56" spans="2:13" ht="14.25" customHeight="1">
      <c r="B56" s="5">
        <v>38</v>
      </c>
      <c r="C56" s="45" t="s">
        <v>258</v>
      </c>
      <c r="D56" s="6" t="s">
        <v>259</v>
      </c>
      <c r="E56" s="7">
        <v>4.722</v>
      </c>
      <c r="F56" s="33">
        <v>1</v>
      </c>
      <c r="G56" s="29">
        <v>1734</v>
      </c>
      <c r="H56" s="29">
        <v>346.34</v>
      </c>
      <c r="I56" s="29">
        <f t="shared" si="2"/>
        <v>0</v>
      </c>
      <c r="J56" s="29">
        <f>1134.59-300</f>
        <v>834.5899999999999</v>
      </c>
      <c r="K56" s="29">
        <f t="shared" si="3"/>
        <v>0</v>
      </c>
      <c r="L56" s="29">
        <f>283.75*2</f>
        <v>567.5</v>
      </c>
      <c r="M56" s="40">
        <f t="shared" si="4"/>
        <v>3482.4300000000003</v>
      </c>
    </row>
    <row r="57" spans="2:15" ht="36">
      <c r="B57" s="50">
        <v>39</v>
      </c>
      <c r="C57" s="53" t="s">
        <v>247</v>
      </c>
      <c r="D57" s="51" t="s">
        <v>248</v>
      </c>
      <c r="E57" s="27">
        <v>1.688</v>
      </c>
      <c r="F57" s="28">
        <v>52</v>
      </c>
      <c r="G57" s="46">
        <f>1688.4*2.42*12</f>
        <v>49031.136</v>
      </c>
      <c r="H57" s="34">
        <v>0</v>
      </c>
      <c r="I57" s="34">
        <v>0</v>
      </c>
      <c r="J57" s="34">
        <v>0</v>
      </c>
      <c r="K57" s="34">
        <v>0</v>
      </c>
      <c r="L57" s="48">
        <f>G57*2%</f>
        <v>980.62272</v>
      </c>
      <c r="M57" s="29">
        <f>SUM(G57:L57)</f>
        <v>50011.75872</v>
      </c>
      <c r="N57" s="26"/>
      <c r="O57" s="30"/>
    </row>
    <row r="58" spans="2:15" ht="37.5" customHeight="1">
      <c r="B58" s="5">
        <v>40</v>
      </c>
      <c r="C58" s="52" t="s">
        <v>255</v>
      </c>
      <c r="D58" s="6" t="s">
        <v>256</v>
      </c>
      <c r="E58" s="7">
        <v>1.253</v>
      </c>
      <c r="F58" s="47">
        <v>52</v>
      </c>
      <c r="G58" s="8">
        <f>330.4989*E58*F58+4800</f>
        <v>26333.9863284</v>
      </c>
      <c r="H58" s="8">
        <f>56.272187120804*E58*F58-2000</f>
        <v>1666.4706240431046</v>
      </c>
      <c r="I58" s="8">
        <f>0*E58*F58</f>
        <v>0</v>
      </c>
      <c r="J58" s="8">
        <f>248.5351728*E58*F58-6100</f>
        <v>10093.557718956798</v>
      </c>
      <c r="K58" s="8">
        <f>0*E58*F58</f>
        <v>0</v>
      </c>
      <c r="L58" s="8">
        <f>G58*3%</f>
        <v>790.019589852</v>
      </c>
      <c r="M58" s="49">
        <f>SUM(G58:L58)</f>
        <v>38884.0342612519</v>
      </c>
      <c r="N58" s="26"/>
      <c r="O58" s="30"/>
    </row>
    <row r="59" spans="2:15" ht="43.5" customHeight="1">
      <c r="B59" s="5">
        <v>41</v>
      </c>
      <c r="C59" s="6" t="s">
        <v>257</v>
      </c>
      <c r="D59" s="6" t="s">
        <v>256</v>
      </c>
      <c r="E59" s="7">
        <v>0.434</v>
      </c>
      <c r="F59" s="7">
        <v>52</v>
      </c>
      <c r="G59" s="8">
        <f>266.84726048963*E59*F59+3700</f>
        <v>9722.208974729969</v>
      </c>
      <c r="H59" s="8">
        <f>56.201492246039*E59*F59-700</f>
        <v>568.3552770086083</v>
      </c>
      <c r="I59" s="8">
        <f>0*E59*F59</f>
        <v>0</v>
      </c>
      <c r="J59" s="8">
        <f>200.6691398882*E59*F59</f>
        <v>4528.701148996897</v>
      </c>
      <c r="K59" s="8">
        <f>0*E59*F59</f>
        <v>0</v>
      </c>
      <c r="L59" s="8">
        <f>G59*3%</f>
        <v>291.66626924189904</v>
      </c>
      <c r="M59" s="9">
        <f>SUM(G59:L59)</f>
        <v>15110.931669977374</v>
      </c>
      <c r="O59" s="26"/>
    </row>
    <row r="60" spans="2:15" ht="24.75" thickBot="1">
      <c r="B60" s="5">
        <v>42</v>
      </c>
      <c r="C60" s="54" t="s">
        <v>260</v>
      </c>
      <c r="D60" s="6" t="s">
        <v>49</v>
      </c>
      <c r="E60" s="7"/>
      <c r="F60" s="47">
        <v>1</v>
      </c>
      <c r="G60" s="8">
        <v>673.26</v>
      </c>
      <c r="H60" s="8">
        <v>1596.7</v>
      </c>
      <c r="I60" s="8">
        <f>0*E60*F60</f>
        <v>0</v>
      </c>
      <c r="J60" s="8">
        <v>453.6</v>
      </c>
      <c r="K60" s="8">
        <f>0*E60*F60</f>
        <v>0</v>
      </c>
      <c r="L60" s="8">
        <v>323.4</v>
      </c>
      <c r="M60" s="49">
        <f>SUM(G60:L60)</f>
        <v>3046.96</v>
      </c>
      <c r="O60" s="30"/>
    </row>
    <row r="61" spans="2:15" ht="18" customHeight="1" thickBot="1">
      <c r="B61" s="70" t="s">
        <v>60</v>
      </c>
      <c r="C61" s="71"/>
      <c r="D61" s="71"/>
      <c r="E61" s="71"/>
      <c r="F61" s="72"/>
      <c r="G61" s="12">
        <f>SUM(G6:G60)</f>
        <v>184041.74792954494</v>
      </c>
      <c r="H61" s="12">
        <f>SUM(H6:H60)</f>
        <v>83664.48408983489</v>
      </c>
      <c r="I61" s="12">
        <f>SUM(I6:I60)</f>
        <v>1800</v>
      </c>
      <c r="J61" s="12">
        <f>SUM(J6:J60)</f>
        <v>67702.80681101774</v>
      </c>
      <c r="K61" s="12">
        <f>SUM(K6:K60)</f>
        <v>0</v>
      </c>
      <c r="L61" s="12">
        <f>SUM(L6:L60)</f>
        <v>39129.221959558134</v>
      </c>
      <c r="M61" s="12">
        <f>SUM(M6:M60)</f>
        <v>376338.59078995563</v>
      </c>
      <c r="N61" s="26"/>
      <c r="O61" s="26"/>
    </row>
    <row r="62" ht="12">
      <c r="M62" s="26"/>
    </row>
    <row r="63" spans="7:11" ht="12">
      <c r="G63" s="26"/>
      <c r="H63" s="26"/>
      <c r="I63" s="26"/>
      <c r="J63" s="26"/>
      <c r="K63" s="26"/>
    </row>
    <row r="64" ht="12">
      <c r="M64" s="26"/>
    </row>
    <row r="65" spans="4:11" ht="19.5">
      <c r="D65" s="73" t="s">
        <v>61</v>
      </c>
      <c r="E65" s="73"/>
      <c r="F65" s="73"/>
      <c r="G65" s="73"/>
      <c r="H65" s="73"/>
      <c r="I65" s="73"/>
      <c r="J65" s="73"/>
      <c r="K65" s="73"/>
    </row>
    <row r="66" spans="4:11" ht="15">
      <c r="D66" s="14" t="s">
        <v>62</v>
      </c>
      <c r="E66" s="69">
        <f>G61</f>
        <v>184041.74792954494</v>
      </c>
      <c r="F66" s="69"/>
      <c r="G66" s="13"/>
      <c r="H66" s="13"/>
      <c r="I66" s="14" t="s">
        <v>63</v>
      </c>
      <c r="J66" s="69">
        <f>J61</f>
        <v>67702.80681101774</v>
      </c>
      <c r="K66" s="69"/>
    </row>
    <row r="67" spans="4:11" ht="15">
      <c r="D67" s="14" t="s">
        <v>64</v>
      </c>
      <c r="E67" s="69">
        <f>H61</f>
        <v>83664.48408983489</v>
      </c>
      <c r="F67" s="69"/>
      <c r="G67" s="13"/>
      <c r="H67" s="13"/>
      <c r="I67" s="14" t="s">
        <v>65</v>
      </c>
      <c r="J67" s="69">
        <f>K61</f>
        <v>0</v>
      </c>
      <c r="K67" s="69"/>
    </row>
    <row r="68" spans="4:11" ht="15">
      <c r="D68" s="14" t="s">
        <v>66</v>
      </c>
      <c r="E68" s="69">
        <f>I61</f>
        <v>1800</v>
      </c>
      <c r="F68" s="69"/>
      <c r="G68" s="13"/>
      <c r="H68" s="13"/>
      <c r="I68" s="14" t="s">
        <v>67</v>
      </c>
      <c r="J68" s="69">
        <f>L61</f>
        <v>39129.221959558134</v>
      </c>
      <c r="K68" s="69"/>
    </row>
    <row r="69" spans="4:11" ht="15">
      <c r="D69" s="14"/>
      <c r="E69" s="13"/>
      <c r="F69" s="13"/>
      <c r="G69" s="13"/>
      <c r="H69" s="13"/>
      <c r="I69" s="14" t="s">
        <v>68</v>
      </c>
      <c r="J69" s="69">
        <f>M61</f>
        <v>376338.59078995563</v>
      </c>
      <c r="K69" s="69"/>
    </row>
    <row r="70" spans="8:11" ht="15">
      <c r="H70" s="74" t="s">
        <v>232</v>
      </c>
      <c r="I70" s="74"/>
      <c r="J70" s="74"/>
      <c r="K70" s="23">
        <v>1688.4</v>
      </c>
    </row>
    <row r="71" spans="8:11" ht="15">
      <c r="H71" s="74" t="s">
        <v>233</v>
      </c>
      <c r="I71" s="74"/>
      <c r="J71" s="74"/>
      <c r="K71" s="23">
        <f>J69/K70/12</f>
        <v>18.574715252603827</v>
      </c>
    </row>
    <row r="73" spans="2:6" ht="12.75">
      <c r="B73" s="24" t="s">
        <v>234</v>
      </c>
      <c r="C73" s="24"/>
      <c r="D73" s="24"/>
      <c r="E73" s="24"/>
      <c r="F73" s="24" t="s">
        <v>235</v>
      </c>
    </row>
    <row r="74" spans="2:6" ht="12.75">
      <c r="B74" s="24"/>
      <c r="C74" s="24"/>
      <c r="D74" s="24"/>
      <c r="E74" s="24"/>
      <c r="F74" s="24"/>
    </row>
    <row r="75" spans="2:13" ht="31.5" customHeight="1">
      <c r="B75" s="57" t="s">
        <v>253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2:10" ht="30.75" customHeight="1">
      <c r="B76" s="57" t="s">
        <v>254</v>
      </c>
      <c r="C76" s="57"/>
      <c r="D76" s="57"/>
      <c r="E76" s="57"/>
      <c r="F76" s="57"/>
      <c r="G76" s="57"/>
      <c r="H76" s="57"/>
      <c r="I76" s="57"/>
      <c r="J76" s="57"/>
    </row>
    <row r="77" spans="2:10" ht="16.5" customHeight="1">
      <c r="B77" s="58" t="s">
        <v>236</v>
      </c>
      <c r="C77" s="58"/>
      <c r="D77" s="58"/>
      <c r="E77" s="58"/>
      <c r="F77" s="58"/>
      <c r="G77" s="58"/>
      <c r="H77" s="58"/>
      <c r="I77" s="58"/>
      <c r="J77" s="25"/>
    </row>
  </sheetData>
  <sheetProtection formatCells="0" formatColumns="0" formatRows="0" insertColumns="0" insertRows="0" insertHyperlinks="0" deleteColumns="0" deleteRows="0" sort="0" autoFilter="0" pivotTables="0"/>
  <mergeCells count="33">
    <mergeCell ref="B25:M25"/>
    <mergeCell ref="B4:M4"/>
    <mergeCell ref="B5:M5"/>
    <mergeCell ref="B10:M10"/>
    <mergeCell ref="B12:M12"/>
    <mergeCell ref="B14:M14"/>
    <mergeCell ref="B1:M1"/>
    <mergeCell ref="B2:M2"/>
    <mergeCell ref="B46:M46"/>
    <mergeCell ref="E67:F67"/>
    <mergeCell ref="J67:K67"/>
    <mergeCell ref="E68:F68"/>
    <mergeCell ref="J68:K68"/>
    <mergeCell ref="B17:M17"/>
    <mergeCell ref="B21:M21"/>
    <mergeCell ref="B22:M22"/>
    <mergeCell ref="B61:F61"/>
    <mergeCell ref="D65:K65"/>
    <mergeCell ref="E66:F66"/>
    <mergeCell ref="J66:K66"/>
    <mergeCell ref="B75:M75"/>
    <mergeCell ref="H70:J70"/>
    <mergeCell ref="H71:J71"/>
    <mergeCell ref="N2:N3"/>
    <mergeCell ref="O2:O3"/>
    <mergeCell ref="B76:J76"/>
    <mergeCell ref="B77:I77"/>
    <mergeCell ref="B27:M27"/>
    <mergeCell ref="B30:M30"/>
    <mergeCell ref="B32:M32"/>
    <mergeCell ref="B35:M35"/>
    <mergeCell ref="B44:M44"/>
    <mergeCell ref="J69:K69"/>
  </mergeCells>
  <printOptions/>
  <pageMargins left="0.35" right="0.35" top="0.35" bottom="0.35" header="0.3" footer="0.3"/>
  <pageSetup fitToHeight="1" fitToWidth="1" horizontalDpi="600" verticalDpi="600" orientation="portrait" paperSize="9" scale="44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zoomScalePageLayoutView="0" workbookViewId="0" topLeftCell="B1">
      <selection activeCell="B135" sqref="B135:G13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94" t="s">
        <v>69</v>
      </c>
      <c r="C1" s="94"/>
      <c r="D1" s="94"/>
      <c r="E1" s="94"/>
      <c r="F1" s="94"/>
      <c r="G1" s="94"/>
    </row>
    <row r="3" spans="1:7" ht="27">
      <c r="A3" s="1"/>
      <c r="B3" s="2" t="s">
        <v>0</v>
      </c>
      <c r="C3" s="2" t="s">
        <v>70</v>
      </c>
      <c r="D3" s="3" t="s">
        <v>71</v>
      </c>
      <c r="E3" s="3" t="s">
        <v>3</v>
      </c>
      <c r="F3" s="3" t="s">
        <v>72</v>
      </c>
      <c r="G3" s="4" t="s">
        <v>11</v>
      </c>
    </row>
    <row r="4" spans="2:7" ht="15">
      <c r="B4" s="93" t="s">
        <v>73</v>
      </c>
      <c r="C4" s="93"/>
      <c r="D4" s="93"/>
      <c r="E4" s="93"/>
      <c r="F4" s="93"/>
      <c r="G4" s="93"/>
    </row>
    <row r="5" spans="2:7" ht="12">
      <c r="B5" s="15">
        <v>1</v>
      </c>
      <c r="C5" s="16" t="s">
        <v>74</v>
      </c>
      <c r="D5" s="16" t="s">
        <v>75</v>
      </c>
      <c r="E5" s="17">
        <v>0.97</v>
      </c>
      <c r="F5" s="18">
        <v>134.76</v>
      </c>
      <c r="G5" s="21">
        <f aca="true" t="shared" si="0" ref="G5:G40">E5*F5</f>
        <v>130.7172</v>
      </c>
    </row>
    <row r="6" spans="2:7" ht="12">
      <c r="B6" s="5">
        <v>2</v>
      </c>
      <c r="C6" s="6" t="s">
        <v>76</v>
      </c>
      <c r="D6" s="6" t="s">
        <v>75</v>
      </c>
      <c r="E6" s="19">
        <v>1.94</v>
      </c>
      <c r="F6" s="20">
        <v>0.01</v>
      </c>
      <c r="G6" s="9">
        <f t="shared" si="0"/>
        <v>0.0194</v>
      </c>
    </row>
    <row r="7" spans="2:7" ht="12">
      <c r="B7" s="5">
        <v>3</v>
      </c>
      <c r="C7" s="6" t="s">
        <v>77</v>
      </c>
      <c r="D7" s="6" t="s">
        <v>75</v>
      </c>
      <c r="E7" s="19">
        <v>2.91</v>
      </c>
      <c r="F7" s="20">
        <v>0.01</v>
      </c>
      <c r="G7" s="9">
        <f t="shared" si="0"/>
        <v>0.0291</v>
      </c>
    </row>
    <row r="8" spans="2:7" ht="12">
      <c r="B8" s="5">
        <v>4</v>
      </c>
      <c r="C8" s="6" t="s">
        <v>78</v>
      </c>
      <c r="D8" s="6" t="s">
        <v>75</v>
      </c>
      <c r="E8" s="19">
        <v>0.97</v>
      </c>
      <c r="F8" s="20">
        <v>0.01</v>
      </c>
      <c r="G8" s="9">
        <f t="shared" si="0"/>
        <v>0.0097</v>
      </c>
    </row>
    <row r="9" spans="2:7" ht="12">
      <c r="B9" s="5">
        <v>5</v>
      </c>
      <c r="C9" s="6" t="s">
        <v>79</v>
      </c>
      <c r="D9" s="6" t="s">
        <v>75</v>
      </c>
      <c r="E9" s="19">
        <v>2.85</v>
      </c>
      <c r="F9" s="8">
        <v>161.712</v>
      </c>
      <c r="G9" s="9">
        <f t="shared" si="0"/>
        <v>460.87919999999997</v>
      </c>
    </row>
    <row r="10" spans="2:7" ht="12">
      <c r="B10" s="5">
        <v>6</v>
      </c>
      <c r="C10" s="6" t="s">
        <v>80</v>
      </c>
      <c r="D10" s="6" t="s">
        <v>75</v>
      </c>
      <c r="E10" s="19">
        <v>134.59188</v>
      </c>
      <c r="F10" s="8">
        <v>134.76</v>
      </c>
      <c r="G10" s="9">
        <f t="shared" si="0"/>
        <v>18137.6017488</v>
      </c>
    </row>
    <row r="11" spans="2:7" ht="12">
      <c r="B11" s="5">
        <v>7</v>
      </c>
      <c r="C11" s="6" t="s">
        <v>81</v>
      </c>
      <c r="D11" s="6" t="s">
        <v>75</v>
      </c>
      <c r="E11" s="19">
        <v>3.82242</v>
      </c>
      <c r="F11" s="8">
        <v>161.712</v>
      </c>
      <c r="G11" s="9">
        <f t="shared" si="0"/>
        <v>618.13118304</v>
      </c>
    </row>
    <row r="12" spans="2:7" ht="12">
      <c r="B12" s="5">
        <v>8</v>
      </c>
      <c r="C12" s="6" t="s">
        <v>82</v>
      </c>
      <c r="D12" s="6" t="s">
        <v>75</v>
      </c>
      <c r="E12" s="19">
        <v>19.35</v>
      </c>
      <c r="F12" s="8">
        <v>146.8884</v>
      </c>
      <c r="G12" s="9">
        <f t="shared" si="0"/>
        <v>2842.29054</v>
      </c>
    </row>
    <row r="13" spans="2:7" ht="12">
      <c r="B13" s="5">
        <v>9</v>
      </c>
      <c r="C13" s="6" t="s">
        <v>83</v>
      </c>
      <c r="D13" s="6" t="s">
        <v>75</v>
      </c>
      <c r="E13" s="19">
        <v>19.35</v>
      </c>
      <c r="F13" s="20">
        <v>0.01</v>
      </c>
      <c r="G13" s="9">
        <f t="shared" si="0"/>
        <v>0.1935</v>
      </c>
    </row>
    <row r="14" spans="2:7" ht="12">
      <c r="B14" s="5">
        <v>10</v>
      </c>
      <c r="C14" s="6" t="s">
        <v>84</v>
      </c>
      <c r="D14" s="6" t="s">
        <v>75</v>
      </c>
      <c r="E14" s="19">
        <v>0.46566</v>
      </c>
      <c r="F14" s="8">
        <v>161.712</v>
      </c>
      <c r="G14" s="9">
        <f t="shared" si="0"/>
        <v>75.30280992</v>
      </c>
    </row>
    <row r="15" spans="2:7" ht="12">
      <c r="B15" s="5">
        <v>11</v>
      </c>
      <c r="C15" s="6" t="s">
        <v>85</v>
      </c>
      <c r="D15" s="6" t="s">
        <v>75</v>
      </c>
      <c r="E15" s="19">
        <v>0.26424</v>
      </c>
      <c r="F15" s="20">
        <v>0.01</v>
      </c>
      <c r="G15" s="9">
        <f t="shared" si="0"/>
        <v>0.0026423999999999996</v>
      </c>
    </row>
    <row r="16" spans="2:7" ht="12">
      <c r="B16" s="5">
        <v>12</v>
      </c>
      <c r="C16" s="6" t="s">
        <v>86</v>
      </c>
      <c r="D16" s="6" t="s">
        <v>75</v>
      </c>
      <c r="E16" s="19">
        <v>2.37816</v>
      </c>
      <c r="F16" s="8">
        <v>190.0116</v>
      </c>
      <c r="G16" s="9">
        <f t="shared" si="0"/>
        <v>451.87798665599996</v>
      </c>
    </row>
    <row r="17" spans="2:7" ht="24">
      <c r="B17" s="5">
        <v>13</v>
      </c>
      <c r="C17" s="6" t="s">
        <v>87</v>
      </c>
      <c r="D17" s="6" t="s">
        <v>75</v>
      </c>
      <c r="E17" s="19">
        <v>2.548</v>
      </c>
      <c r="F17" s="8">
        <v>146.8884</v>
      </c>
      <c r="G17" s="9">
        <f t="shared" si="0"/>
        <v>374.27164319999997</v>
      </c>
    </row>
    <row r="18" spans="2:7" ht="24">
      <c r="B18" s="5">
        <v>14</v>
      </c>
      <c r="C18" s="6" t="s">
        <v>88</v>
      </c>
      <c r="D18" s="6" t="s">
        <v>75</v>
      </c>
      <c r="E18" s="19">
        <v>2.548</v>
      </c>
      <c r="F18" s="8">
        <v>161.712</v>
      </c>
      <c r="G18" s="9">
        <f t="shared" si="0"/>
        <v>412.042176</v>
      </c>
    </row>
    <row r="19" spans="2:7" ht="24">
      <c r="B19" s="5">
        <v>15</v>
      </c>
      <c r="C19" s="6" t="s">
        <v>89</v>
      </c>
      <c r="D19" s="6" t="s">
        <v>75</v>
      </c>
      <c r="E19" s="19">
        <v>3.1044</v>
      </c>
      <c r="F19" s="8">
        <v>176.5356</v>
      </c>
      <c r="G19" s="9">
        <f t="shared" si="0"/>
        <v>548.03711664</v>
      </c>
    </row>
    <row r="20" spans="2:7" ht="12">
      <c r="B20" s="5">
        <v>16</v>
      </c>
      <c r="C20" s="6" t="s">
        <v>90</v>
      </c>
      <c r="D20" s="6" t="s">
        <v>75</v>
      </c>
      <c r="E20" s="19">
        <v>27.354975</v>
      </c>
      <c r="F20" s="8">
        <v>146.8884</v>
      </c>
      <c r="G20" s="9">
        <f t="shared" si="0"/>
        <v>4018.1285097899995</v>
      </c>
    </row>
    <row r="21" spans="2:7" ht="12">
      <c r="B21" s="5">
        <v>17</v>
      </c>
      <c r="C21" s="6" t="s">
        <v>91</v>
      </c>
      <c r="D21" s="6" t="s">
        <v>75</v>
      </c>
      <c r="E21" s="19">
        <v>12.615</v>
      </c>
      <c r="F21" s="20">
        <v>0.01</v>
      </c>
      <c r="G21" s="9">
        <f t="shared" si="0"/>
        <v>0.12615</v>
      </c>
    </row>
    <row r="22" spans="2:7" ht="12">
      <c r="B22" s="5">
        <v>18</v>
      </c>
      <c r="C22" s="6" t="s">
        <v>92</v>
      </c>
      <c r="D22" s="6" t="s">
        <v>75</v>
      </c>
      <c r="E22" s="19">
        <v>15.505525</v>
      </c>
      <c r="F22" s="8">
        <v>176.5356</v>
      </c>
      <c r="G22" s="9">
        <f t="shared" si="0"/>
        <v>2737.27715919</v>
      </c>
    </row>
    <row r="23" spans="2:7" ht="12">
      <c r="B23" s="5">
        <v>19</v>
      </c>
      <c r="C23" s="6" t="s">
        <v>93</v>
      </c>
      <c r="D23" s="6" t="s">
        <v>75</v>
      </c>
      <c r="E23" s="19">
        <v>4.12</v>
      </c>
      <c r="F23" s="8">
        <v>161.712</v>
      </c>
      <c r="G23" s="9">
        <f t="shared" si="0"/>
        <v>666.25344</v>
      </c>
    </row>
    <row r="24" spans="2:7" ht="12">
      <c r="B24" s="5">
        <v>20</v>
      </c>
      <c r="C24" s="6" t="s">
        <v>94</v>
      </c>
      <c r="D24" s="6" t="s">
        <v>75</v>
      </c>
      <c r="E24" s="19">
        <v>1.58</v>
      </c>
      <c r="F24" s="8">
        <v>176.5356</v>
      </c>
      <c r="G24" s="9">
        <f t="shared" si="0"/>
        <v>278.926248</v>
      </c>
    </row>
    <row r="25" spans="2:7" ht="12">
      <c r="B25" s="5">
        <v>21</v>
      </c>
      <c r="C25" s="6" t="s">
        <v>95</v>
      </c>
      <c r="D25" s="6" t="s">
        <v>75</v>
      </c>
      <c r="E25" s="19">
        <v>0.97</v>
      </c>
      <c r="F25" s="8">
        <v>134.76</v>
      </c>
      <c r="G25" s="9">
        <f t="shared" si="0"/>
        <v>130.7172</v>
      </c>
    </row>
    <row r="26" spans="2:7" ht="12">
      <c r="B26" s="5">
        <v>22</v>
      </c>
      <c r="C26" s="6" t="s">
        <v>96</v>
      </c>
      <c r="D26" s="6" t="s">
        <v>75</v>
      </c>
      <c r="E26" s="19">
        <v>18.0744</v>
      </c>
      <c r="F26" s="8">
        <v>161.712</v>
      </c>
      <c r="G26" s="9">
        <f t="shared" si="0"/>
        <v>2922.8473728</v>
      </c>
    </row>
    <row r="27" spans="2:7" ht="24">
      <c r="B27" s="5">
        <v>23</v>
      </c>
      <c r="C27" s="6" t="s">
        <v>97</v>
      </c>
      <c r="D27" s="6" t="s">
        <v>75</v>
      </c>
      <c r="E27" s="19">
        <v>3.6700333</v>
      </c>
      <c r="F27" s="8">
        <v>146.8884</v>
      </c>
      <c r="G27" s="9">
        <f t="shared" si="0"/>
        <v>539.0853193837199</v>
      </c>
    </row>
    <row r="28" spans="2:7" ht="24">
      <c r="B28" s="5">
        <v>24</v>
      </c>
      <c r="C28" s="6" t="s">
        <v>98</v>
      </c>
      <c r="D28" s="6" t="s">
        <v>75</v>
      </c>
      <c r="E28" s="19">
        <v>0</v>
      </c>
      <c r="F28" s="8">
        <v>161.712</v>
      </c>
      <c r="G28" s="9">
        <f t="shared" si="0"/>
        <v>0</v>
      </c>
    </row>
    <row r="29" spans="2:7" ht="12">
      <c r="B29" s="5">
        <v>25</v>
      </c>
      <c r="C29" s="6" t="s">
        <v>99</v>
      </c>
      <c r="D29" s="6" t="s">
        <v>75</v>
      </c>
      <c r="E29" s="19">
        <v>14</v>
      </c>
      <c r="F29" s="8">
        <v>176.5356</v>
      </c>
      <c r="G29" s="9">
        <f t="shared" si="0"/>
        <v>2471.4984</v>
      </c>
    </row>
    <row r="30" spans="2:7" ht="24">
      <c r="B30" s="5">
        <v>26</v>
      </c>
      <c r="C30" s="6" t="s">
        <v>100</v>
      </c>
      <c r="D30" s="6" t="s">
        <v>75</v>
      </c>
      <c r="E30" s="19">
        <v>0</v>
      </c>
      <c r="F30" s="8">
        <v>176.5356</v>
      </c>
      <c r="G30" s="9">
        <f t="shared" si="0"/>
        <v>0</v>
      </c>
    </row>
    <row r="31" spans="2:7" ht="12">
      <c r="B31" s="5">
        <v>27</v>
      </c>
      <c r="C31" s="6" t="s">
        <v>101</v>
      </c>
      <c r="D31" s="6" t="s">
        <v>75</v>
      </c>
      <c r="E31" s="19">
        <v>32.3584</v>
      </c>
      <c r="F31" s="8">
        <v>161.712</v>
      </c>
      <c r="G31" s="9">
        <f t="shared" si="0"/>
        <v>5232.7415808000005</v>
      </c>
    </row>
    <row r="32" spans="2:7" ht="12">
      <c r="B32" s="5">
        <v>28</v>
      </c>
      <c r="C32" s="6" t="s">
        <v>102</v>
      </c>
      <c r="D32" s="6" t="s">
        <v>75</v>
      </c>
      <c r="E32" s="19">
        <v>11.1</v>
      </c>
      <c r="F32" s="8">
        <v>146.8884</v>
      </c>
      <c r="G32" s="9">
        <f t="shared" si="0"/>
        <v>1630.4612399999999</v>
      </c>
    </row>
    <row r="33" spans="2:7" ht="12">
      <c r="B33" s="5">
        <v>29</v>
      </c>
      <c r="C33" s="6" t="s">
        <v>103</v>
      </c>
      <c r="D33" s="6" t="s">
        <v>75</v>
      </c>
      <c r="E33" s="19">
        <v>106.8972</v>
      </c>
      <c r="F33" s="20">
        <v>176.54</v>
      </c>
      <c r="G33" s="9">
        <f t="shared" si="0"/>
        <v>18871.631687999998</v>
      </c>
    </row>
    <row r="34" spans="2:7" ht="12">
      <c r="B34" s="5">
        <v>30</v>
      </c>
      <c r="C34" s="6" t="s">
        <v>104</v>
      </c>
      <c r="D34" s="6" t="s">
        <v>75</v>
      </c>
      <c r="E34" s="19">
        <v>200.342</v>
      </c>
      <c r="F34" s="8">
        <v>176.5356</v>
      </c>
      <c r="G34" s="9">
        <f t="shared" si="0"/>
        <v>35367.4951752</v>
      </c>
    </row>
    <row r="35" spans="2:7" ht="12">
      <c r="B35" s="5">
        <v>31</v>
      </c>
      <c r="C35" s="6" t="s">
        <v>105</v>
      </c>
      <c r="D35" s="6" t="s">
        <v>75</v>
      </c>
      <c r="E35" s="19">
        <v>11.04</v>
      </c>
      <c r="F35" s="8">
        <v>190.0116</v>
      </c>
      <c r="G35" s="9">
        <f t="shared" si="0"/>
        <v>2097.728064</v>
      </c>
    </row>
    <row r="36" spans="2:7" ht="12">
      <c r="B36" s="5">
        <v>32</v>
      </c>
      <c r="C36" s="6" t="s">
        <v>106</v>
      </c>
      <c r="D36" s="6" t="s">
        <v>75</v>
      </c>
      <c r="E36" s="19">
        <v>0.92</v>
      </c>
      <c r="F36" s="8">
        <v>146.8884</v>
      </c>
      <c r="G36" s="9">
        <f t="shared" si="0"/>
        <v>135.137328</v>
      </c>
    </row>
    <row r="37" spans="2:7" ht="12">
      <c r="B37" s="5">
        <v>33</v>
      </c>
      <c r="C37" s="6" t="s">
        <v>107</v>
      </c>
      <c r="D37" s="6" t="s">
        <v>75</v>
      </c>
      <c r="E37" s="19">
        <v>0.92</v>
      </c>
      <c r="F37" s="8">
        <v>161.712</v>
      </c>
      <c r="G37" s="9">
        <f t="shared" si="0"/>
        <v>148.77504</v>
      </c>
    </row>
    <row r="38" spans="2:7" ht="24">
      <c r="B38" s="5">
        <v>34</v>
      </c>
      <c r="C38" s="6" t="s">
        <v>108</v>
      </c>
      <c r="D38" s="6" t="s">
        <v>109</v>
      </c>
      <c r="E38" s="19">
        <v>0</v>
      </c>
      <c r="F38" s="8">
        <v>190.0116</v>
      </c>
      <c r="G38" s="9">
        <f t="shared" si="0"/>
        <v>0</v>
      </c>
    </row>
    <row r="39" spans="2:7" ht="24">
      <c r="B39" s="5">
        <v>35</v>
      </c>
      <c r="C39" s="6" t="s">
        <v>110</v>
      </c>
      <c r="D39" s="6" t="s">
        <v>75</v>
      </c>
      <c r="E39" s="19">
        <v>5.112</v>
      </c>
      <c r="F39" s="20">
        <v>161.71</v>
      </c>
      <c r="G39" s="9">
        <f t="shared" si="0"/>
        <v>826.6615200000001</v>
      </c>
    </row>
    <row r="40" spans="2:7" ht="24">
      <c r="B40" s="5">
        <v>36</v>
      </c>
      <c r="C40" s="6" t="s">
        <v>111</v>
      </c>
      <c r="D40" s="6" t="s">
        <v>75</v>
      </c>
      <c r="E40" s="19">
        <v>0</v>
      </c>
      <c r="F40" s="8">
        <v>176.5356</v>
      </c>
      <c r="G40" s="9">
        <f t="shared" si="0"/>
        <v>0</v>
      </c>
    </row>
    <row r="41" spans="2:7" ht="12">
      <c r="B41" s="90" t="s">
        <v>60</v>
      </c>
      <c r="C41" s="91"/>
      <c r="D41" s="91"/>
      <c r="E41" s="91"/>
      <c r="F41" s="92"/>
      <c r="G41" s="10">
        <f>SUM(G5:G40)</f>
        <v>102126.8973818197</v>
      </c>
    </row>
    <row r="42" spans="2:7" ht="15">
      <c r="B42" s="93" t="s">
        <v>112</v>
      </c>
      <c r="C42" s="93"/>
      <c r="D42" s="93"/>
      <c r="E42" s="93"/>
      <c r="F42" s="93"/>
      <c r="G42" s="93"/>
    </row>
    <row r="43" spans="2:7" ht="12">
      <c r="B43" s="15">
        <v>37</v>
      </c>
      <c r="C43" s="16" t="s">
        <v>113</v>
      </c>
      <c r="D43" s="16" t="s">
        <v>114</v>
      </c>
      <c r="E43" s="17">
        <v>2.655</v>
      </c>
      <c r="F43" s="18">
        <v>2820.4818</v>
      </c>
      <c r="G43" s="21">
        <f aca="true" t="shared" si="1" ref="G43:G74">E43*F43</f>
        <v>7488.379179</v>
      </c>
    </row>
    <row r="44" spans="2:7" ht="12">
      <c r="B44" s="5">
        <v>38</v>
      </c>
      <c r="C44" s="6" t="s">
        <v>115</v>
      </c>
      <c r="D44" s="6" t="s">
        <v>116</v>
      </c>
      <c r="E44" s="19">
        <v>0.021</v>
      </c>
      <c r="F44" s="8">
        <v>437.4003</v>
      </c>
      <c r="G44" s="9">
        <f t="shared" si="1"/>
        <v>9.1854063</v>
      </c>
    </row>
    <row r="45" spans="2:7" ht="12">
      <c r="B45" s="5">
        <v>39</v>
      </c>
      <c r="C45" s="6" t="s">
        <v>117</v>
      </c>
      <c r="D45" s="6" t="s">
        <v>114</v>
      </c>
      <c r="E45" s="19">
        <v>0.0091836</v>
      </c>
      <c r="F45" s="8">
        <v>51532.2621</v>
      </c>
      <c r="G45" s="9">
        <f t="shared" si="1"/>
        <v>473.25168222156003</v>
      </c>
    </row>
    <row r="46" spans="2:7" ht="12">
      <c r="B46" s="5">
        <v>40</v>
      </c>
      <c r="C46" s="6" t="s">
        <v>118</v>
      </c>
      <c r="D46" s="6" t="s">
        <v>114</v>
      </c>
      <c r="E46" s="19">
        <v>0.0064</v>
      </c>
      <c r="F46" s="8">
        <v>15254.895</v>
      </c>
      <c r="G46" s="9">
        <f t="shared" si="1"/>
        <v>97.63132800000001</v>
      </c>
    </row>
    <row r="47" spans="2:7" ht="24">
      <c r="B47" s="5">
        <v>41</v>
      </c>
      <c r="C47" s="6" t="s">
        <v>119</v>
      </c>
      <c r="D47" s="6" t="s">
        <v>114</v>
      </c>
      <c r="E47" s="19">
        <v>0.015</v>
      </c>
      <c r="F47" s="8">
        <v>69661.4319</v>
      </c>
      <c r="G47" s="9">
        <f t="shared" si="1"/>
        <v>1044.9214785</v>
      </c>
    </row>
    <row r="48" spans="2:7" ht="24">
      <c r="B48" s="5">
        <v>42</v>
      </c>
      <c r="C48" s="6" t="s">
        <v>120</v>
      </c>
      <c r="D48" s="6" t="s">
        <v>121</v>
      </c>
      <c r="E48" s="19">
        <v>2</v>
      </c>
      <c r="F48" s="8">
        <v>4341.4692000000005</v>
      </c>
      <c r="G48" s="9">
        <f t="shared" si="1"/>
        <v>8682.938400000001</v>
      </c>
    </row>
    <row r="49" spans="2:7" ht="12">
      <c r="B49" s="5">
        <v>43</v>
      </c>
      <c r="C49" s="6" t="s">
        <v>122</v>
      </c>
      <c r="D49" s="6" t="s">
        <v>114</v>
      </c>
      <c r="E49" s="19">
        <v>0.000475</v>
      </c>
      <c r="F49" s="8">
        <v>110646.396</v>
      </c>
      <c r="G49" s="9">
        <f t="shared" si="1"/>
        <v>52.5570381</v>
      </c>
    </row>
    <row r="50" spans="2:7" ht="12">
      <c r="B50" s="5">
        <v>44</v>
      </c>
      <c r="C50" s="6" t="s">
        <v>123</v>
      </c>
      <c r="D50" s="6" t="s">
        <v>124</v>
      </c>
      <c r="E50" s="19">
        <v>0.53283</v>
      </c>
      <c r="F50" s="8">
        <v>22.4847</v>
      </c>
      <c r="G50" s="9">
        <f t="shared" si="1"/>
        <v>11.980522701</v>
      </c>
    </row>
    <row r="51" spans="2:7" ht="12">
      <c r="B51" s="5">
        <v>45</v>
      </c>
      <c r="C51" s="6" t="s">
        <v>125</v>
      </c>
      <c r="D51" s="6" t="s">
        <v>116</v>
      </c>
      <c r="E51" s="19">
        <v>35.24</v>
      </c>
      <c r="F51" s="20">
        <v>19.21</v>
      </c>
      <c r="G51" s="9">
        <f t="shared" si="1"/>
        <v>676.9604</v>
      </c>
    </row>
    <row r="52" spans="2:7" ht="12">
      <c r="B52" s="5">
        <v>46</v>
      </c>
      <c r="C52" s="6" t="s">
        <v>126</v>
      </c>
      <c r="D52" s="6" t="s">
        <v>114</v>
      </c>
      <c r="E52" s="19">
        <v>0.000156</v>
      </c>
      <c r="F52" s="8">
        <v>46738.970400000006</v>
      </c>
      <c r="G52" s="9">
        <f t="shared" si="1"/>
        <v>7.291279382400001</v>
      </c>
    </row>
    <row r="53" spans="2:7" ht="12">
      <c r="B53" s="5">
        <v>47</v>
      </c>
      <c r="C53" s="6" t="s">
        <v>127</v>
      </c>
      <c r="D53" s="6" t="s">
        <v>124</v>
      </c>
      <c r="E53" s="19">
        <v>1.73398</v>
      </c>
      <c r="F53" s="8">
        <v>56.760000000000005</v>
      </c>
      <c r="G53" s="9">
        <f t="shared" si="1"/>
        <v>98.42070480000001</v>
      </c>
    </row>
    <row r="54" spans="2:7" ht="24">
      <c r="B54" s="5">
        <v>48</v>
      </c>
      <c r="C54" s="6" t="s">
        <v>128</v>
      </c>
      <c r="D54" s="6" t="s">
        <v>129</v>
      </c>
      <c r="E54" s="19">
        <v>0.0208</v>
      </c>
      <c r="F54" s="8">
        <v>13302.905700000001</v>
      </c>
      <c r="G54" s="9">
        <f t="shared" si="1"/>
        <v>276.70043856</v>
      </c>
    </row>
    <row r="55" spans="2:7" ht="12">
      <c r="B55" s="5">
        <v>49</v>
      </c>
      <c r="C55" s="6" t="s">
        <v>130</v>
      </c>
      <c r="D55" s="6" t="s">
        <v>131</v>
      </c>
      <c r="E55" s="19">
        <v>0.76</v>
      </c>
      <c r="F55" s="8">
        <v>22.188</v>
      </c>
      <c r="G55" s="9">
        <f t="shared" si="1"/>
        <v>16.86288</v>
      </c>
    </row>
    <row r="56" spans="2:7" ht="12">
      <c r="B56" s="5">
        <v>50</v>
      </c>
      <c r="C56" s="6" t="s">
        <v>132</v>
      </c>
      <c r="D56" s="6" t="s">
        <v>114</v>
      </c>
      <c r="E56" s="19">
        <v>0.003654</v>
      </c>
      <c r="F56" s="8">
        <v>2714.6760000000004</v>
      </c>
      <c r="G56" s="9">
        <f t="shared" si="1"/>
        <v>9.919426104000001</v>
      </c>
    </row>
    <row r="57" spans="2:7" ht="12">
      <c r="B57" s="5">
        <v>51</v>
      </c>
      <c r="C57" s="6" t="s">
        <v>133</v>
      </c>
      <c r="D57" s="6" t="s">
        <v>124</v>
      </c>
      <c r="E57" s="19">
        <v>0.26</v>
      </c>
      <c r="F57" s="8">
        <v>13.3644</v>
      </c>
      <c r="G57" s="9">
        <f t="shared" si="1"/>
        <v>3.4747440000000003</v>
      </c>
    </row>
    <row r="58" spans="2:7" ht="12">
      <c r="B58" s="5">
        <v>52</v>
      </c>
      <c r="C58" s="6" t="s">
        <v>134</v>
      </c>
      <c r="D58" s="6" t="s">
        <v>124</v>
      </c>
      <c r="E58" s="19">
        <v>0.816</v>
      </c>
      <c r="F58" s="8">
        <v>257.40659999999997</v>
      </c>
      <c r="G58" s="9">
        <f t="shared" si="1"/>
        <v>210.04378559999995</v>
      </c>
    </row>
    <row r="59" spans="2:7" ht="12">
      <c r="B59" s="5">
        <v>53</v>
      </c>
      <c r="C59" s="6" t="s">
        <v>135</v>
      </c>
      <c r="D59" s="6" t="s">
        <v>114</v>
      </c>
      <c r="E59" s="19">
        <v>0.001</v>
      </c>
      <c r="F59" s="8">
        <v>57123.3285</v>
      </c>
      <c r="G59" s="9">
        <f t="shared" si="1"/>
        <v>57.12332850000001</v>
      </c>
    </row>
    <row r="60" spans="2:7" ht="12">
      <c r="B60" s="5">
        <v>54</v>
      </c>
      <c r="C60" s="6" t="s">
        <v>136</v>
      </c>
      <c r="D60" s="6" t="s">
        <v>116</v>
      </c>
      <c r="E60" s="19">
        <v>0.048</v>
      </c>
      <c r="F60" s="8">
        <v>64.1259</v>
      </c>
      <c r="G60" s="9">
        <f t="shared" si="1"/>
        <v>3.0780432</v>
      </c>
    </row>
    <row r="61" spans="2:7" ht="12">
      <c r="B61" s="5">
        <v>55</v>
      </c>
      <c r="C61" s="6" t="s">
        <v>137</v>
      </c>
      <c r="D61" s="6" t="s">
        <v>121</v>
      </c>
      <c r="E61" s="19">
        <v>1</v>
      </c>
      <c r="F61" s="8">
        <v>595.8639000000001</v>
      </c>
      <c r="G61" s="9">
        <f t="shared" si="1"/>
        <v>595.8639000000001</v>
      </c>
    </row>
    <row r="62" spans="2:7" ht="24">
      <c r="B62" s="5">
        <v>56</v>
      </c>
      <c r="C62" s="6" t="s">
        <v>138</v>
      </c>
      <c r="D62" s="6" t="s">
        <v>121</v>
      </c>
      <c r="E62" s="19">
        <v>1</v>
      </c>
      <c r="F62" s="8">
        <v>170.0091</v>
      </c>
      <c r="G62" s="9">
        <f t="shared" si="1"/>
        <v>170.0091</v>
      </c>
    </row>
    <row r="63" spans="2:7" ht="12">
      <c r="B63" s="5">
        <v>57</v>
      </c>
      <c r="C63" s="6" t="s">
        <v>139</v>
      </c>
      <c r="D63" s="6" t="s">
        <v>114</v>
      </c>
      <c r="E63" s="19">
        <v>8.7E-05</v>
      </c>
      <c r="F63" s="8">
        <v>43616.202900000004</v>
      </c>
      <c r="G63" s="9">
        <f t="shared" si="1"/>
        <v>3.7946096523000006</v>
      </c>
    </row>
    <row r="64" spans="2:7" ht="12">
      <c r="B64" s="5">
        <v>58</v>
      </c>
      <c r="C64" s="6" t="s">
        <v>140</v>
      </c>
      <c r="D64" s="6" t="s">
        <v>114</v>
      </c>
      <c r="E64" s="19">
        <v>0.002215</v>
      </c>
      <c r="F64" s="8">
        <v>69742.66320000001</v>
      </c>
      <c r="G64" s="9">
        <f t="shared" si="1"/>
        <v>154.479998988</v>
      </c>
    </row>
    <row r="65" spans="2:7" ht="12">
      <c r="B65" s="5">
        <v>59</v>
      </c>
      <c r="C65" s="6" t="s">
        <v>141</v>
      </c>
      <c r="D65" s="6" t="s">
        <v>114</v>
      </c>
      <c r="E65" s="19">
        <v>0.0004</v>
      </c>
      <c r="F65" s="20">
        <v>0.01</v>
      </c>
      <c r="G65" s="9">
        <f t="shared" si="1"/>
        <v>4.000000000000001E-06</v>
      </c>
    </row>
    <row r="66" spans="2:7" ht="24">
      <c r="B66" s="5">
        <v>60</v>
      </c>
      <c r="C66" s="6" t="s">
        <v>142</v>
      </c>
      <c r="D66" s="6" t="s">
        <v>114</v>
      </c>
      <c r="E66" s="19">
        <v>0</v>
      </c>
      <c r="F66" s="8">
        <v>65606.2524</v>
      </c>
      <c r="G66" s="9">
        <f t="shared" si="1"/>
        <v>0</v>
      </c>
    </row>
    <row r="67" spans="2:7" ht="12">
      <c r="B67" s="5">
        <v>61</v>
      </c>
      <c r="C67" s="6" t="s">
        <v>143</v>
      </c>
      <c r="D67" s="6" t="s">
        <v>114</v>
      </c>
      <c r="E67" s="19">
        <v>0.0016269</v>
      </c>
      <c r="F67" s="8">
        <v>43306.7319</v>
      </c>
      <c r="G67" s="9">
        <f t="shared" si="1"/>
        <v>70.45572212811</v>
      </c>
    </row>
    <row r="68" spans="2:7" ht="12">
      <c r="B68" s="5">
        <v>62</v>
      </c>
      <c r="C68" s="6" t="s">
        <v>144</v>
      </c>
      <c r="D68" s="6" t="s">
        <v>124</v>
      </c>
      <c r="E68" s="19">
        <v>3.8075</v>
      </c>
      <c r="F68" s="8">
        <v>49.8843</v>
      </c>
      <c r="G68" s="9">
        <f t="shared" si="1"/>
        <v>189.93447225000003</v>
      </c>
    </row>
    <row r="69" spans="2:7" ht="12">
      <c r="B69" s="5">
        <v>63</v>
      </c>
      <c r="C69" s="6" t="s">
        <v>145</v>
      </c>
      <c r="D69" s="6" t="s">
        <v>114</v>
      </c>
      <c r="E69" s="19">
        <v>7.92E-05</v>
      </c>
      <c r="F69" s="8">
        <v>112377.6792</v>
      </c>
      <c r="G69" s="9">
        <f t="shared" si="1"/>
        <v>8.90031219264</v>
      </c>
    </row>
    <row r="70" spans="2:7" ht="12">
      <c r="B70" s="5">
        <v>64</v>
      </c>
      <c r="C70" s="6" t="s">
        <v>146</v>
      </c>
      <c r="D70" s="6" t="s">
        <v>131</v>
      </c>
      <c r="E70" s="19">
        <v>7.2</v>
      </c>
      <c r="F70" s="8">
        <v>201.0078</v>
      </c>
      <c r="G70" s="9">
        <f t="shared" si="1"/>
        <v>1447.2561600000001</v>
      </c>
    </row>
    <row r="71" spans="2:7" ht="36">
      <c r="B71" s="5">
        <v>65</v>
      </c>
      <c r="C71" s="6" t="s">
        <v>147</v>
      </c>
      <c r="D71" s="6" t="s">
        <v>114</v>
      </c>
      <c r="E71" s="19">
        <v>0.0102</v>
      </c>
      <c r="F71" s="8">
        <v>33865.3896</v>
      </c>
      <c r="G71" s="9">
        <f t="shared" si="1"/>
        <v>345.42697392</v>
      </c>
    </row>
    <row r="72" spans="2:7" ht="12">
      <c r="B72" s="5">
        <v>66</v>
      </c>
      <c r="C72" s="6" t="s">
        <v>148</v>
      </c>
      <c r="D72" s="6" t="s">
        <v>124</v>
      </c>
      <c r="E72" s="19">
        <v>0.04</v>
      </c>
      <c r="F72" s="8">
        <v>790.0088999999999</v>
      </c>
      <c r="G72" s="9">
        <f t="shared" si="1"/>
        <v>31.600355999999998</v>
      </c>
    </row>
    <row r="73" spans="2:7" ht="24">
      <c r="B73" s="5">
        <v>67</v>
      </c>
      <c r="C73" s="6" t="s">
        <v>149</v>
      </c>
      <c r="D73" s="6" t="s">
        <v>150</v>
      </c>
      <c r="E73" s="19">
        <v>14.04</v>
      </c>
      <c r="F73" s="8">
        <v>115.5969</v>
      </c>
      <c r="G73" s="9">
        <f t="shared" si="1"/>
        <v>1622.980476</v>
      </c>
    </row>
    <row r="74" spans="2:7" ht="12">
      <c r="B74" s="5">
        <v>68</v>
      </c>
      <c r="C74" s="6" t="s">
        <v>151</v>
      </c>
      <c r="D74" s="6" t="s">
        <v>152</v>
      </c>
      <c r="E74" s="19">
        <v>1</v>
      </c>
      <c r="F74" s="20">
        <v>0.01</v>
      </c>
      <c r="G74" s="9">
        <f t="shared" si="1"/>
        <v>0.01</v>
      </c>
    </row>
    <row r="75" spans="2:7" ht="12">
      <c r="B75" s="5">
        <v>69</v>
      </c>
      <c r="C75" s="6" t="s">
        <v>153</v>
      </c>
      <c r="D75" s="6" t="s">
        <v>124</v>
      </c>
      <c r="E75" s="19">
        <v>1.881</v>
      </c>
      <c r="F75" s="8">
        <v>209.00580000000002</v>
      </c>
      <c r="G75" s="9">
        <f aca="true" t="shared" si="2" ref="G75:G106">E75*F75</f>
        <v>393.13990980000005</v>
      </c>
    </row>
    <row r="76" spans="2:7" ht="24">
      <c r="B76" s="5">
        <v>70</v>
      </c>
      <c r="C76" s="6" t="s">
        <v>154</v>
      </c>
      <c r="D76" s="6" t="s">
        <v>116</v>
      </c>
      <c r="E76" s="19">
        <v>0.01995</v>
      </c>
      <c r="F76" s="8">
        <v>2532.4248</v>
      </c>
      <c r="G76" s="9">
        <f t="shared" si="2"/>
        <v>50.521874759999996</v>
      </c>
    </row>
    <row r="77" spans="2:7" ht="12">
      <c r="B77" s="5">
        <v>71</v>
      </c>
      <c r="C77" s="6" t="s">
        <v>155</v>
      </c>
      <c r="D77" s="6" t="s">
        <v>114</v>
      </c>
      <c r="E77" s="19">
        <v>0.0008</v>
      </c>
      <c r="F77" s="20">
        <v>0.01</v>
      </c>
      <c r="G77" s="9">
        <f t="shared" si="2"/>
        <v>8.000000000000001E-06</v>
      </c>
    </row>
    <row r="78" spans="2:7" ht="12">
      <c r="B78" s="5">
        <v>72</v>
      </c>
      <c r="C78" s="6" t="s">
        <v>156</v>
      </c>
      <c r="D78" s="6" t="s">
        <v>121</v>
      </c>
      <c r="E78" s="19">
        <v>9.6616</v>
      </c>
      <c r="F78" s="8">
        <v>3.7152</v>
      </c>
      <c r="G78" s="9">
        <f t="shared" si="2"/>
        <v>35.89477632</v>
      </c>
    </row>
    <row r="79" spans="2:7" ht="12">
      <c r="B79" s="5">
        <v>73</v>
      </c>
      <c r="C79" s="6" t="s">
        <v>157</v>
      </c>
      <c r="D79" s="6" t="s">
        <v>124</v>
      </c>
      <c r="E79" s="19">
        <v>0.4785</v>
      </c>
      <c r="F79" s="8">
        <v>37.6035</v>
      </c>
      <c r="G79" s="9">
        <f t="shared" si="2"/>
        <v>17.993274749999998</v>
      </c>
    </row>
    <row r="80" spans="2:7" ht="12">
      <c r="B80" s="5">
        <v>74</v>
      </c>
      <c r="C80" s="6" t="s">
        <v>158</v>
      </c>
      <c r="D80" s="6" t="s">
        <v>114</v>
      </c>
      <c r="E80" s="19">
        <v>0.0004</v>
      </c>
      <c r="F80" s="8">
        <v>33255.4389</v>
      </c>
      <c r="G80" s="9">
        <f t="shared" si="2"/>
        <v>13.30217556</v>
      </c>
    </row>
    <row r="81" spans="2:7" ht="12">
      <c r="B81" s="5">
        <v>75</v>
      </c>
      <c r="C81" s="6" t="s">
        <v>159</v>
      </c>
      <c r="D81" s="6" t="s">
        <v>121</v>
      </c>
      <c r="E81" s="19">
        <v>1</v>
      </c>
      <c r="F81" s="8">
        <v>76.8066</v>
      </c>
      <c r="G81" s="9">
        <f t="shared" si="2"/>
        <v>76.8066</v>
      </c>
    </row>
    <row r="82" spans="2:7" ht="12">
      <c r="B82" s="5">
        <v>76</v>
      </c>
      <c r="C82" s="6" t="s">
        <v>160</v>
      </c>
      <c r="D82" s="6" t="s">
        <v>114</v>
      </c>
      <c r="E82" s="19">
        <v>0.00016</v>
      </c>
      <c r="F82" s="8">
        <v>39357.9</v>
      </c>
      <c r="G82" s="9">
        <f t="shared" si="2"/>
        <v>6.297264000000001</v>
      </c>
    </row>
    <row r="83" spans="2:7" ht="12">
      <c r="B83" s="5">
        <v>77</v>
      </c>
      <c r="C83" s="6" t="s">
        <v>161</v>
      </c>
      <c r="D83" s="6" t="s">
        <v>124</v>
      </c>
      <c r="E83" s="19">
        <v>10.46085</v>
      </c>
      <c r="F83" s="8">
        <v>116.5644</v>
      </c>
      <c r="G83" s="9">
        <f t="shared" si="2"/>
        <v>1219.3627037400001</v>
      </c>
    </row>
    <row r="84" spans="2:7" ht="12">
      <c r="B84" s="5">
        <v>78</v>
      </c>
      <c r="C84" s="6" t="s">
        <v>162</v>
      </c>
      <c r="D84" s="6" t="s">
        <v>124</v>
      </c>
      <c r="E84" s="19">
        <v>0.036</v>
      </c>
      <c r="F84" s="8">
        <v>64.15169999999999</v>
      </c>
      <c r="G84" s="9">
        <f t="shared" si="2"/>
        <v>2.3094611999999994</v>
      </c>
    </row>
    <row r="85" spans="2:7" ht="12">
      <c r="B85" s="5">
        <v>79</v>
      </c>
      <c r="C85" s="6" t="s">
        <v>163</v>
      </c>
      <c r="D85" s="6" t="s">
        <v>114</v>
      </c>
      <c r="E85" s="19">
        <v>0.0018</v>
      </c>
      <c r="F85" s="20">
        <v>0.01</v>
      </c>
      <c r="G85" s="9">
        <f t="shared" si="2"/>
        <v>1.8E-05</v>
      </c>
    </row>
    <row r="86" spans="2:7" ht="12">
      <c r="B86" s="5">
        <v>80</v>
      </c>
      <c r="C86" s="6" t="s">
        <v>164</v>
      </c>
      <c r="D86" s="6" t="s">
        <v>114</v>
      </c>
      <c r="E86" s="19">
        <v>0.021576</v>
      </c>
      <c r="F86" s="8">
        <v>8059.146</v>
      </c>
      <c r="G86" s="9">
        <f t="shared" si="2"/>
        <v>173.884134096</v>
      </c>
    </row>
    <row r="87" spans="2:7" ht="24">
      <c r="B87" s="5">
        <v>81</v>
      </c>
      <c r="C87" s="6" t="s">
        <v>165</v>
      </c>
      <c r="D87" s="6" t="s">
        <v>116</v>
      </c>
      <c r="E87" s="19">
        <v>0.00034455</v>
      </c>
      <c r="F87" s="8">
        <v>962.0690999999999</v>
      </c>
      <c r="G87" s="9">
        <f t="shared" si="2"/>
        <v>0.331480908405</v>
      </c>
    </row>
    <row r="88" spans="2:7" ht="12">
      <c r="B88" s="5">
        <v>82</v>
      </c>
      <c r="C88" s="6" t="s">
        <v>166</v>
      </c>
      <c r="D88" s="6" t="s">
        <v>121</v>
      </c>
      <c r="E88" s="19">
        <v>1</v>
      </c>
      <c r="F88" s="8">
        <v>340.76640000000003</v>
      </c>
      <c r="G88" s="9">
        <f t="shared" si="2"/>
        <v>340.76640000000003</v>
      </c>
    </row>
    <row r="89" spans="2:7" ht="12">
      <c r="B89" s="5">
        <v>83</v>
      </c>
      <c r="C89" s="6" t="s">
        <v>167</v>
      </c>
      <c r="D89" s="6" t="s">
        <v>124</v>
      </c>
      <c r="E89" s="19">
        <v>0.5208</v>
      </c>
      <c r="F89" s="8">
        <v>176.1237</v>
      </c>
      <c r="G89" s="9">
        <f t="shared" si="2"/>
        <v>91.72522296000001</v>
      </c>
    </row>
    <row r="90" spans="2:7" ht="12">
      <c r="B90" s="5">
        <v>84</v>
      </c>
      <c r="C90" s="6" t="s">
        <v>168</v>
      </c>
      <c r="D90" s="6" t="s">
        <v>114</v>
      </c>
      <c r="E90" s="19">
        <v>0.00104</v>
      </c>
      <c r="F90" s="8">
        <v>42504.8808</v>
      </c>
      <c r="G90" s="9">
        <f t="shared" si="2"/>
        <v>44.205076031999994</v>
      </c>
    </row>
    <row r="91" spans="2:7" ht="24">
      <c r="B91" s="5">
        <v>85</v>
      </c>
      <c r="C91" s="6" t="s">
        <v>169</v>
      </c>
      <c r="D91" s="6" t="s">
        <v>124</v>
      </c>
      <c r="E91" s="19">
        <v>0.52</v>
      </c>
      <c r="F91" s="8">
        <v>79.24470000000001</v>
      </c>
      <c r="G91" s="9">
        <f t="shared" si="2"/>
        <v>41.207244</v>
      </c>
    </row>
    <row r="92" spans="2:7" ht="12">
      <c r="B92" s="5">
        <v>86</v>
      </c>
      <c r="C92" s="6" t="s">
        <v>170</v>
      </c>
      <c r="D92" s="6" t="s">
        <v>121</v>
      </c>
      <c r="E92" s="19">
        <v>52</v>
      </c>
      <c r="F92" s="8">
        <v>2.7606</v>
      </c>
      <c r="G92" s="9">
        <f t="shared" si="2"/>
        <v>143.5512</v>
      </c>
    </row>
    <row r="93" spans="2:7" ht="12">
      <c r="B93" s="5">
        <v>87</v>
      </c>
      <c r="C93" s="6" t="s">
        <v>171</v>
      </c>
      <c r="D93" s="6" t="s">
        <v>116</v>
      </c>
      <c r="E93" s="19">
        <v>1.9</v>
      </c>
      <c r="F93" s="8">
        <v>3547.1775000000002</v>
      </c>
      <c r="G93" s="9">
        <f t="shared" si="2"/>
        <v>6739.63725</v>
      </c>
    </row>
    <row r="94" spans="2:7" ht="12">
      <c r="B94" s="5">
        <v>88</v>
      </c>
      <c r="C94" s="6" t="s">
        <v>172</v>
      </c>
      <c r="D94" s="6" t="s">
        <v>116</v>
      </c>
      <c r="E94" s="19">
        <v>0.06</v>
      </c>
      <c r="F94" s="8">
        <v>5755.3608</v>
      </c>
      <c r="G94" s="9">
        <f t="shared" si="2"/>
        <v>345.321648</v>
      </c>
    </row>
    <row r="95" spans="2:7" ht="12">
      <c r="B95" s="5">
        <v>89</v>
      </c>
      <c r="C95" s="6" t="s">
        <v>173</v>
      </c>
      <c r="D95" s="6" t="s">
        <v>124</v>
      </c>
      <c r="E95" s="19">
        <v>6</v>
      </c>
      <c r="F95" s="8">
        <v>96.6855</v>
      </c>
      <c r="G95" s="9">
        <f t="shared" si="2"/>
        <v>580.113</v>
      </c>
    </row>
    <row r="96" spans="2:7" ht="12">
      <c r="B96" s="5">
        <v>90</v>
      </c>
      <c r="C96" s="6" t="s">
        <v>174</v>
      </c>
      <c r="D96" s="6" t="s">
        <v>121</v>
      </c>
      <c r="E96" s="19">
        <v>10</v>
      </c>
      <c r="F96" s="8">
        <v>41.8476</v>
      </c>
      <c r="G96" s="9">
        <f t="shared" si="2"/>
        <v>418.476</v>
      </c>
    </row>
    <row r="97" spans="2:7" ht="12">
      <c r="B97" s="5">
        <v>91</v>
      </c>
      <c r="C97" s="6" t="s">
        <v>175</v>
      </c>
      <c r="D97" s="6" t="s">
        <v>124</v>
      </c>
      <c r="E97" s="19">
        <v>0.288</v>
      </c>
      <c r="F97" s="8">
        <v>121.6857</v>
      </c>
      <c r="G97" s="9">
        <f t="shared" si="2"/>
        <v>35.045481599999995</v>
      </c>
    </row>
    <row r="98" spans="2:7" ht="12">
      <c r="B98" s="5">
        <v>92</v>
      </c>
      <c r="C98" s="6" t="s">
        <v>176</v>
      </c>
      <c r="D98" s="6" t="s">
        <v>150</v>
      </c>
      <c r="E98" s="19">
        <v>2.6</v>
      </c>
      <c r="F98" s="8">
        <v>167.7387</v>
      </c>
      <c r="G98" s="9">
        <f t="shared" si="2"/>
        <v>436.12062</v>
      </c>
    </row>
    <row r="99" spans="2:7" ht="12">
      <c r="B99" s="5">
        <v>93</v>
      </c>
      <c r="C99" s="6" t="s">
        <v>177</v>
      </c>
      <c r="D99" s="6" t="s">
        <v>121</v>
      </c>
      <c r="E99" s="19">
        <v>8</v>
      </c>
      <c r="F99" s="8">
        <v>455.66670000000005</v>
      </c>
      <c r="G99" s="9">
        <f t="shared" si="2"/>
        <v>3645.3336000000004</v>
      </c>
    </row>
    <row r="100" spans="2:7" ht="24">
      <c r="B100" s="5">
        <v>94</v>
      </c>
      <c r="C100" s="6" t="s">
        <v>178</v>
      </c>
      <c r="D100" s="6" t="s">
        <v>150</v>
      </c>
      <c r="E100" s="19">
        <v>1.37333333</v>
      </c>
      <c r="F100" s="8">
        <v>206.4</v>
      </c>
      <c r="G100" s="9">
        <f t="shared" si="2"/>
        <v>283.455999312</v>
      </c>
    </row>
    <row r="101" spans="2:7" ht="24">
      <c r="B101" s="5">
        <v>95</v>
      </c>
      <c r="C101" s="6" t="s">
        <v>179</v>
      </c>
      <c r="D101" s="6" t="s">
        <v>152</v>
      </c>
      <c r="E101" s="19">
        <v>1</v>
      </c>
      <c r="F101" s="20">
        <v>0.01</v>
      </c>
      <c r="G101" s="9">
        <f t="shared" si="2"/>
        <v>0.01</v>
      </c>
    </row>
    <row r="102" spans="2:7" ht="12">
      <c r="B102" s="5">
        <v>96</v>
      </c>
      <c r="C102" s="6" t="s">
        <v>180</v>
      </c>
      <c r="D102" s="6" t="s">
        <v>150</v>
      </c>
      <c r="E102" s="19">
        <v>4</v>
      </c>
      <c r="F102" s="8">
        <v>56.0118</v>
      </c>
      <c r="G102" s="9">
        <f t="shared" si="2"/>
        <v>224.0472</v>
      </c>
    </row>
    <row r="103" spans="2:7" ht="36">
      <c r="B103" s="5">
        <v>97</v>
      </c>
      <c r="C103" s="6" t="s">
        <v>181</v>
      </c>
      <c r="D103" s="6" t="s">
        <v>114</v>
      </c>
      <c r="E103" s="19">
        <v>0.022</v>
      </c>
      <c r="F103" s="20">
        <v>0.01</v>
      </c>
      <c r="G103" s="9">
        <f t="shared" si="2"/>
        <v>0.00021999999999999998</v>
      </c>
    </row>
    <row r="104" spans="2:7" ht="12">
      <c r="B104" s="5">
        <v>98</v>
      </c>
      <c r="C104" s="6" t="s">
        <v>182</v>
      </c>
      <c r="D104" s="6" t="s">
        <v>121</v>
      </c>
      <c r="E104" s="19">
        <v>0.5</v>
      </c>
      <c r="F104" s="8">
        <v>293.733</v>
      </c>
      <c r="G104" s="9">
        <f t="shared" si="2"/>
        <v>146.8665</v>
      </c>
    </row>
    <row r="105" spans="2:7" ht="12">
      <c r="B105" s="5">
        <v>99</v>
      </c>
      <c r="C105" s="6" t="s">
        <v>183</v>
      </c>
      <c r="D105" s="6" t="s">
        <v>184</v>
      </c>
      <c r="E105" s="19">
        <v>1.3</v>
      </c>
      <c r="F105" s="8">
        <v>32.8821</v>
      </c>
      <c r="G105" s="9">
        <f t="shared" si="2"/>
        <v>42.74673000000001</v>
      </c>
    </row>
    <row r="106" spans="2:7" ht="12">
      <c r="B106" s="5">
        <v>100</v>
      </c>
      <c r="C106" s="6" t="s">
        <v>185</v>
      </c>
      <c r="D106" s="6" t="s">
        <v>186</v>
      </c>
      <c r="E106" s="19">
        <v>9.78</v>
      </c>
      <c r="F106" s="8">
        <v>193.5129</v>
      </c>
      <c r="G106" s="9">
        <f t="shared" si="2"/>
        <v>1892.5561619999999</v>
      </c>
    </row>
    <row r="107" spans="2:7" ht="12">
      <c r="B107" s="5">
        <v>101</v>
      </c>
      <c r="C107" s="6" t="s">
        <v>187</v>
      </c>
      <c r="D107" s="6" t="s">
        <v>186</v>
      </c>
      <c r="E107" s="19">
        <v>9.98</v>
      </c>
      <c r="F107" s="8">
        <v>382.2012</v>
      </c>
      <c r="G107" s="9">
        <f aca="true" t="shared" si="3" ref="G107:G119">E107*F107</f>
        <v>3814.367976</v>
      </c>
    </row>
    <row r="108" spans="2:7" ht="12">
      <c r="B108" s="5">
        <v>102</v>
      </c>
      <c r="C108" s="6" t="s">
        <v>188</v>
      </c>
      <c r="D108" s="6" t="s">
        <v>121</v>
      </c>
      <c r="E108" s="19">
        <v>1</v>
      </c>
      <c r="F108" s="8">
        <v>266.5398</v>
      </c>
      <c r="G108" s="9">
        <f t="shared" si="3"/>
        <v>266.5398</v>
      </c>
    </row>
    <row r="109" spans="2:7" ht="12">
      <c r="B109" s="5">
        <v>103</v>
      </c>
      <c r="C109" s="6" t="s">
        <v>189</v>
      </c>
      <c r="D109" s="6" t="s">
        <v>114</v>
      </c>
      <c r="E109" s="19">
        <v>0.0144</v>
      </c>
      <c r="F109" s="8">
        <v>28129.0434</v>
      </c>
      <c r="G109" s="9">
        <f t="shared" si="3"/>
        <v>405.05822495999996</v>
      </c>
    </row>
    <row r="110" spans="2:7" ht="12">
      <c r="B110" s="5">
        <v>104</v>
      </c>
      <c r="C110" s="6" t="s">
        <v>190</v>
      </c>
      <c r="D110" s="6" t="s">
        <v>191</v>
      </c>
      <c r="E110" s="19">
        <v>0.017</v>
      </c>
      <c r="F110" s="8">
        <v>84124.4088</v>
      </c>
      <c r="G110" s="9">
        <f t="shared" si="3"/>
        <v>1430.1149496000003</v>
      </c>
    </row>
    <row r="111" spans="2:7" ht="24">
      <c r="B111" s="5">
        <v>105</v>
      </c>
      <c r="C111" s="6" t="s">
        <v>192</v>
      </c>
      <c r="D111" s="6" t="s">
        <v>121</v>
      </c>
      <c r="E111" s="19">
        <v>5</v>
      </c>
      <c r="F111" s="8">
        <v>19.5306</v>
      </c>
      <c r="G111" s="9">
        <f t="shared" si="3"/>
        <v>97.65299999999999</v>
      </c>
    </row>
    <row r="112" spans="2:7" ht="12">
      <c r="B112" s="5">
        <v>106</v>
      </c>
      <c r="C112" s="6" t="s">
        <v>193</v>
      </c>
      <c r="D112" s="6" t="s">
        <v>114</v>
      </c>
      <c r="E112" s="19">
        <v>0.0051</v>
      </c>
      <c r="F112" s="8">
        <v>25179.3423</v>
      </c>
      <c r="G112" s="9">
        <f t="shared" si="3"/>
        <v>128.41464573000002</v>
      </c>
    </row>
    <row r="113" spans="2:7" ht="12">
      <c r="B113" s="5">
        <v>107</v>
      </c>
      <c r="C113" s="6" t="s">
        <v>194</v>
      </c>
      <c r="D113" s="6" t="s">
        <v>121</v>
      </c>
      <c r="E113" s="19">
        <v>52</v>
      </c>
      <c r="F113" s="8">
        <v>31.527600000000003</v>
      </c>
      <c r="G113" s="9">
        <f t="shared" si="3"/>
        <v>1639.4352000000001</v>
      </c>
    </row>
    <row r="114" spans="2:7" ht="12">
      <c r="B114" s="5">
        <v>108</v>
      </c>
      <c r="C114" s="6" t="s">
        <v>195</v>
      </c>
      <c r="D114" s="6" t="s">
        <v>150</v>
      </c>
      <c r="E114" s="19">
        <v>0.301248</v>
      </c>
      <c r="F114" s="8">
        <v>257.742</v>
      </c>
      <c r="G114" s="9">
        <f t="shared" si="3"/>
        <v>77.64426201600001</v>
      </c>
    </row>
    <row r="115" spans="2:7" ht="12">
      <c r="B115" s="5">
        <v>109</v>
      </c>
      <c r="C115" s="6" t="s">
        <v>196</v>
      </c>
      <c r="D115" s="6" t="s">
        <v>114</v>
      </c>
      <c r="E115" s="19">
        <v>0</v>
      </c>
      <c r="F115" s="8">
        <v>16455.2142</v>
      </c>
      <c r="G115" s="9">
        <f t="shared" si="3"/>
        <v>0</v>
      </c>
    </row>
    <row r="116" spans="2:7" ht="12">
      <c r="B116" s="5">
        <v>110</v>
      </c>
      <c r="C116" s="6" t="s">
        <v>197</v>
      </c>
      <c r="D116" s="6" t="s">
        <v>114</v>
      </c>
      <c r="E116" s="19">
        <v>0.0104994</v>
      </c>
      <c r="F116" s="8">
        <v>14700.7497</v>
      </c>
      <c r="G116" s="9">
        <f t="shared" si="3"/>
        <v>154.34905140018</v>
      </c>
    </row>
    <row r="117" spans="2:7" ht="12">
      <c r="B117" s="5">
        <v>111</v>
      </c>
      <c r="C117" s="6" t="s">
        <v>198</v>
      </c>
      <c r="D117" s="6" t="s">
        <v>186</v>
      </c>
      <c r="E117" s="19">
        <v>8.16</v>
      </c>
      <c r="F117" s="8">
        <v>92.02860000000001</v>
      </c>
      <c r="G117" s="9">
        <f t="shared" si="3"/>
        <v>750.9533760000002</v>
      </c>
    </row>
    <row r="118" spans="2:7" ht="12">
      <c r="B118" s="5">
        <v>112</v>
      </c>
      <c r="C118" s="6" t="s">
        <v>199</v>
      </c>
      <c r="D118" s="6" t="s">
        <v>114</v>
      </c>
      <c r="E118" s="19">
        <v>0.0011024</v>
      </c>
      <c r="F118" s="8">
        <v>56420.317200000005</v>
      </c>
      <c r="G118" s="9">
        <f t="shared" si="3"/>
        <v>62.19775768128</v>
      </c>
    </row>
    <row r="119" spans="2:7" ht="12">
      <c r="B119" s="5">
        <v>113</v>
      </c>
      <c r="C119" s="6" t="s">
        <v>200</v>
      </c>
      <c r="D119" s="6" t="s">
        <v>114</v>
      </c>
      <c r="E119" s="19">
        <v>0.0008</v>
      </c>
      <c r="F119" s="20">
        <v>0.01</v>
      </c>
      <c r="G119" s="9">
        <f t="shared" si="3"/>
        <v>8.000000000000001E-06</v>
      </c>
    </row>
    <row r="120" spans="2:7" ht="12">
      <c r="B120" s="90" t="s">
        <v>60</v>
      </c>
      <c r="C120" s="91"/>
      <c r="D120" s="91"/>
      <c r="E120" s="91"/>
      <c r="F120" s="92"/>
      <c r="G120" s="10">
        <f>SUM(G43:G119)</f>
        <v>50129.18963652587</v>
      </c>
    </row>
    <row r="121" spans="2:7" ht="15">
      <c r="B121" s="93" t="s">
        <v>201</v>
      </c>
      <c r="C121" s="93"/>
      <c r="D121" s="93"/>
      <c r="E121" s="93"/>
      <c r="F121" s="93"/>
      <c r="G121" s="93"/>
    </row>
    <row r="122" spans="2:7" ht="12">
      <c r="B122" s="15">
        <v>114</v>
      </c>
      <c r="C122" s="16" t="s">
        <v>202</v>
      </c>
      <c r="D122" s="16" t="s">
        <v>121</v>
      </c>
      <c r="E122" s="17">
        <v>0.00185353</v>
      </c>
      <c r="F122" s="18">
        <v>107.46990000000001</v>
      </c>
      <c r="G122" s="21">
        <f aca="true" t="shared" si="4" ref="G122:G130">E122*F122</f>
        <v>0.199198683747</v>
      </c>
    </row>
    <row r="123" spans="2:7" ht="12">
      <c r="B123" s="5">
        <v>115</v>
      </c>
      <c r="C123" s="6" t="s">
        <v>203</v>
      </c>
      <c r="D123" s="6" t="s">
        <v>121</v>
      </c>
      <c r="E123" s="19">
        <v>0.0222426</v>
      </c>
      <c r="F123" s="8">
        <v>61.3524</v>
      </c>
      <c r="G123" s="9">
        <f t="shared" si="4"/>
        <v>1.36463689224</v>
      </c>
    </row>
    <row r="124" spans="2:7" ht="12">
      <c r="B124" s="5">
        <v>116</v>
      </c>
      <c r="C124" s="6" t="s">
        <v>204</v>
      </c>
      <c r="D124" s="6" t="s">
        <v>121</v>
      </c>
      <c r="E124" s="19">
        <v>0.028862</v>
      </c>
      <c r="F124" s="8">
        <v>255.98760000000001</v>
      </c>
      <c r="G124" s="9">
        <f t="shared" si="4"/>
        <v>7.3883141112</v>
      </c>
    </row>
    <row r="125" spans="2:7" ht="12">
      <c r="B125" s="5">
        <v>117</v>
      </c>
      <c r="C125" s="6" t="s">
        <v>205</v>
      </c>
      <c r="D125" s="6" t="s">
        <v>121</v>
      </c>
      <c r="E125" s="19">
        <v>0.01404</v>
      </c>
      <c r="F125" s="8">
        <v>270.90000000000003</v>
      </c>
      <c r="G125" s="9">
        <f t="shared" si="4"/>
        <v>3.8034360000000005</v>
      </c>
    </row>
    <row r="126" spans="2:7" ht="12">
      <c r="B126" s="5">
        <v>118</v>
      </c>
      <c r="C126" s="6" t="s">
        <v>206</v>
      </c>
      <c r="D126" s="6" t="s">
        <v>121</v>
      </c>
      <c r="E126" s="19">
        <v>2.5397996</v>
      </c>
      <c r="F126" s="8">
        <v>68.2281</v>
      </c>
      <c r="G126" s="9">
        <f t="shared" si="4"/>
        <v>173.28570108876</v>
      </c>
    </row>
    <row r="127" spans="2:7" ht="12">
      <c r="B127" s="5">
        <v>119</v>
      </c>
      <c r="C127" s="6" t="s">
        <v>207</v>
      </c>
      <c r="D127" s="6" t="s">
        <v>121</v>
      </c>
      <c r="E127" s="19">
        <v>0.0148616</v>
      </c>
      <c r="F127" s="8">
        <v>187.68210000000002</v>
      </c>
      <c r="G127" s="9">
        <f t="shared" si="4"/>
        <v>2.7892562973600006</v>
      </c>
    </row>
    <row r="128" spans="2:7" ht="12">
      <c r="B128" s="5">
        <v>120</v>
      </c>
      <c r="C128" s="6" t="s">
        <v>208</v>
      </c>
      <c r="D128" s="6" t="s">
        <v>121</v>
      </c>
      <c r="E128" s="19">
        <v>0.00092676</v>
      </c>
      <c r="F128" s="8">
        <v>105.78</v>
      </c>
      <c r="G128" s="9">
        <f t="shared" si="4"/>
        <v>0.0980326728</v>
      </c>
    </row>
    <row r="129" spans="2:7" ht="12">
      <c r="B129" s="5">
        <v>121</v>
      </c>
      <c r="C129" s="6" t="s">
        <v>209</v>
      </c>
      <c r="D129" s="6" t="s">
        <v>121</v>
      </c>
      <c r="E129" s="19">
        <v>0.0162</v>
      </c>
      <c r="F129" s="8">
        <v>2327.16</v>
      </c>
      <c r="G129" s="9">
        <f t="shared" si="4"/>
        <v>37.699991999999995</v>
      </c>
    </row>
    <row r="130" spans="2:7" ht="12">
      <c r="B130" s="5">
        <v>122</v>
      </c>
      <c r="C130" s="6" t="s">
        <v>210</v>
      </c>
      <c r="D130" s="6" t="s">
        <v>121</v>
      </c>
      <c r="E130" s="19">
        <v>0.00185353</v>
      </c>
      <c r="F130" s="8">
        <v>51.6</v>
      </c>
      <c r="G130" s="9">
        <f t="shared" si="4"/>
        <v>0.095642148</v>
      </c>
    </row>
    <row r="131" spans="2:7" ht="12">
      <c r="B131" s="90" t="s">
        <v>60</v>
      </c>
      <c r="C131" s="91"/>
      <c r="D131" s="91"/>
      <c r="E131" s="91"/>
      <c r="F131" s="92"/>
      <c r="G131" s="10">
        <f>SUM(G122:G130)</f>
        <v>226.72420989410696</v>
      </c>
    </row>
    <row r="132" spans="2:7" ht="15">
      <c r="B132" s="93" t="s">
        <v>211</v>
      </c>
      <c r="C132" s="93"/>
      <c r="D132" s="93"/>
      <c r="E132" s="93"/>
      <c r="F132" s="93"/>
      <c r="G132" s="93"/>
    </row>
    <row r="133" spans="2:7" ht="12">
      <c r="B133" s="15">
        <v>123</v>
      </c>
      <c r="C133" s="16" t="s">
        <v>212</v>
      </c>
      <c r="D133" s="16" t="s">
        <v>213</v>
      </c>
      <c r="E133" s="17">
        <v>0.5157</v>
      </c>
      <c r="F133" s="18">
        <v>764.408</v>
      </c>
      <c r="G133" s="21">
        <f>E133*F133</f>
        <v>394.20520560000006</v>
      </c>
    </row>
    <row r="134" spans="2:7" ht="12">
      <c r="B134" s="5">
        <v>124</v>
      </c>
      <c r="C134" s="6" t="s">
        <v>214</v>
      </c>
      <c r="D134" s="6" t="s">
        <v>215</v>
      </c>
      <c r="E134" s="19">
        <v>0.5157</v>
      </c>
      <c r="F134" s="20">
        <v>0.01</v>
      </c>
      <c r="G134" s="9">
        <f>E134*F134</f>
        <v>0.005157000000000001</v>
      </c>
    </row>
    <row r="135" spans="2:7" ht="12">
      <c r="B135" s="90" t="s">
        <v>60</v>
      </c>
      <c r="C135" s="91"/>
      <c r="D135" s="91"/>
      <c r="E135" s="91"/>
      <c r="F135" s="92"/>
      <c r="G135" s="10">
        <f>SUM(G133:G134)</f>
        <v>394.21036260000005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31:F131"/>
    <mergeCell ref="B132:G132"/>
    <mergeCell ref="B135:F135"/>
    <mergeCell ref="B1:G1"/>
    <mergeCell ref="B4:G4"/>
    <mergeCell ref="B41:F41"/>
    <mergeCell ref="B42:G42"/>
    <mergeCell ref="B120:F120"/>
    <mergeCell ref="B121:G121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admin</cp:lastModifiedBy>
  <cp:lastPrinted>2017-09-27T01:55:23Z</cp:lastPrinted>
  <dcterms:created xsi:type="dcterms:W3CDTF">2015-02-12T10:10:19Z</dcterms:created>
  <dcterms:modified xsi:type="dcterms:W3CDTF">2017-10-30T23:53:44Z</dcterms:modified>
  <cp:category>Test result file</cp:category>
  <cp:version/>
  <cp:contentType/>
  <cp:contentStatus/>
</cp:coreProperties>
</file>