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<sst xmlns="http://schemas.openxmlformats.org/spreadsheetml/2006/main" count="515" uniqueCount="261">
  <si>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</si>
  <si>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</si>
  <si>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</si>
  <si>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</si>
  <si>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</si>
  <si>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</si>
  <si>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</si>
  <si>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</si>
  <si>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</si>
  <si>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</si>
  <si>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Управл. расходы, руб.</t>
  </si>
  <si>
    <t>Стоимость, руб.</t>
  </si>
  <si>
    <t>100 м2 окрашенной поверхности</t>
  </si>
  <si>
    <t>100 кв.м</t>
  </si>
  <si>
    <t>Заделка выбоин в цементных полах</t>
  </si>
  <si>
    <t>кв.м.</t>
  </si>
  <si>
    <t>Смена поврежденных листов асбоцементных кровель</t>
  </si>
  <si>
    <t>100 м2 сменяемого покрытия</t>
  </si>
  <si>
    <t>100 кв.м.</t>
  </si>
  <si>
    <t>Окраска масляными составами ранее окрашенных металлических решеток  без рельефа за 1 раз</t>
  </si>
  <si>
    <t xml:space="preserve"> 100 м2 окрашиваемой поверхности</t>
  </si>
  <si>
    <t>Окрашивание масляными составами торцов лестничных маршей и площадок</t>
  </si>
  <si>
    <t>Окрашивание масляными составами деревянных поручней</t>
  </si>
  <si>
    <t>100  м поручня</t>
  </si>
  <si>
    <t>1 подогреватель</t>
  </si>
  <si>
    <t>Восстановление разрушенной тепловой изоляции минераловатными матами</t>
  </si>
  <si>
    <t>100 м2 восстановленного участка</t>
  </si>
  <si>
    <t>Замена внутренних водопроводов из стальных труб   на металлопластиковые, диаметром 25 мм</t>
  </si>
  <si>
    <t>100 м трубопроводов</t>
  </si>
  <si>
    <t>Смена отдельных участков  чугунных труб и внутренних чугунных канализационных выпусков при диаметре канализационного выпуска 50 мм</t>
  </si>
  <si>
    <t>Устранение засоров внутренних канализационных трубопроводов</t>
  </si>
  <si>
    <t>100 м трубы</t>
  </si>
  <si>
    <t>Осмотр территории вокруг здания и фундамента</t>
  </si>
  <si>
    <t>1000 кв.м. общей площади</t>
  </si>
  <si>
    <t>1000 кв.м. кровли</t>
  </si>
  <si>
    <t>100 квартир</t>
  </si>
  <si>
    <t>Промывка участка водопровода</t>
  </si>
  <si>
    <t>100 куб.м. здания</t>
  </si>
  <si>
    <t>1000 м2  площади помещений</t>
  </si>
  <si>
    <t>Проведение технических осмотров и устранение незначительных неисправностей в системе вентиляции</t>
  </si>
  <si>
    <t>1 здание</t>
  </si>
  <si>
    <t>Промывка трубопроводов системы центрального отопления</t>
  </si>
  <si>
    <t>10 м трубопровода</t>
  </si>
  <si>
    <t>1 прибор учета</t>
  </si>
  <si>
    <t>Подметание в летний период  земельного участка с неусовершенствованным покрытием 1 класса</t>
  </si>
  <si>
    <t>1 000 кв.м. территории</t>
  </si>
  <si>
    <t>Очистка урн от мусора</t>
  </si>
  <si>
    <t>на 100 урн</t>
  </si>
  <si>
    <t>Сдвижка и подметание снега при отсутствии снегопада на придомовой территории с неусовершенствованным покрытием 1 класса</t>
  </si>
  <si>
    <t>10 000 кв.м. территории</t>
  </si>
  <si>
    <t>Сдвижка и подметание снега при снегопаде на придомовой территории с неусовершенствованным покрытием 1 класса</t>
  </si>
  <si>
    <t>Уборка крыльца и площадки перед входом в подъезд (в холодный период года)</t>
  </si>
  <si>
    <t>Уборка крыльца и площадки перед входом в подъезд (в теплый период года)</t>
  </si>
  <si>
    <t>Очистка контейнерной площадки в холодный период</t>
  </si>
  <si>
    <t>Уборка мусора на  контейнерных  площадках</t>
  </si>
  <si>
    <t>на 100 кв.м.</t>
  </si>
  <si>
    <t>ИТОГО: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</si>
  <si>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</si>
  <si>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</si>
  <si>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</si>
  <si>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</si>
  <si>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</si>
  <si>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</si>
  <si>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Управленческие расходы,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</si>
  <si>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</si>
  <si>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</si>
  <si>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</si>
  <si>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</si>
  <si>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</si>
  <si>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</si>
  <si>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3 разряда</t>
  </si>
  <si>
    <t>чел.-час</t>
  </si>
  <si>
    <t>Дворник 1 разряда</t>
  </si>
  <si>
    <t>Дезинфектор 3 разряда</t>
  </si>
  <si>
    <t>Изолировщик на термоизоляции 2 разряда</t>
  </si>
  <si>
    <t>Изолировщик на термоизоляции 3 разряда</t>
  </si>
  <si>
    <t>Каменщик 3 разряда</t>
  </si>
  <si>
    <t>Каменщик 4 разряда</t>
  </si>
  <si>
    <t>Каменщик 5 разряда</t>
  </si>
  <si>
    <t>Кровельщик по рулонным кровлям и по кровлям из штучных материалов 2 разряда</t>
  </si>
  <si>
    <t>Кровельщик по рулонным кровлям и по кровлям из штучных материалов 3 разряда</t>
  </si>
  <si>
    <t>Кровельщик по рулонным кровлям и по кровлям из штучных материалов 4 разряда</t>
  </si>
  <si>
    <t>Маляр 2 разряда</t>
  </si>
  <si>
    <t>Маляр 3 разряда</t>
  </si>
  <si>
    <t>Маляр 4 разряда</t>
  </si>
  <si>
    <t>Монтажник санитарно-технических систем и оборудования 3 разряда</t>
  </si>
  <si>
    <t>Монтажник санитарно-технических систем и оборудования 4 разряда</t>
  </si>
  <si>
    <t>Рабочий зеленого хозяйства 3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</si>
  <si>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</si>
  <si>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3 разряда</t>
  </si>
  <si>
    <t>Слесарь по контрольно-измерительным приборам и автоматике 3 разряда</t>
  </si>
  <si>
    <t>Слесарь по обслуживанию тепловых пунктов 4 разряда</t>
  </si>
  <si>
    <t>Слесарь по эксплуатации и ремонту газового оборудования 2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</si>
  <si>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</si>
  <si>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</si>
  <si>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</si>
  <si>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</si>
  <si>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</si>
  <si>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</si>
  <si>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Стекольщик 2 разряда</t>
  </si>
  <si>
    <t>Стекольщик 3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</si>
  <si>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</si>
  <si>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</si>
  <si>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</si>
  <si>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</si>
  <si>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Материальные ресурсы</t>
  </si>
  <si>
    <t>Ацетилен газообразный технический</t>
  </si>
  <si>
    <t>м3</t>
  </si>
  <si>
    <t>Белила</t>
  </si>
  <si>
    <t>т</t>
  </si>
  <si>
    <t>Болты с гайками и шайбами для санитарно-технических работ, диаметром 16 мм</t>
  </si>
  <si>
    <t xml:space="preserve">Вентили проходные фланцевые 15С22НЖ для воды и пара, давлением 4 МПа (40 кгс/см2), диаметром 50 мм </t>
  </si>
  <si>
    <t>шт.</t>
  </si>
  <si>
    <t>Веревка техническая из пенькового волокна</t>
  </si>
  <si>
    <t>Ветошь</t>
  </si>
  <si>
    <t>кг</t>
  </si>
  <si>
    <t>Вода водопроводная</t>
  </si>
  <si>
    <t>Гвозди строительные с плоской головкой 1,8 x60 мм</t>
  </si>
  <si>
    <t>Готовая смесь для уничтожения насекомых (порошок Абсолют Дуст)</t>
  </si>
  <si>
    <t>Детали к листам асбестоцементным волнистым обыкновенного профиля, коньковые К-1 и К-2</t>
  </si>
  <si>
    <t>100 пар</t>
  </si>
  <si>
    <t>Дюбели-гвозди</t>
  </si>
  <si>
    <t>10 шт.</t>
  </si>
  <si>
    <t>Известь строительная негашеная комовая, сорт I</t>
  </si>
  <si>
    <t>Известь строительная негашеная хлорная марки А</t>
  </si>
  <si>
    <t>Изделия резиновые технические морозостойкие</t>
  </si>
  <si>
    <t xml:space="preserve">Керосин для технических целей марок КТ-1, КТ-2 </t>
  </si>
  <si>
    <t>Кислород технический газообразный</t>
  </si>
  <si>
    <t>Кран шаровой В-В размером 1"</t>
  </si>
  <si>
    <t>Краны регулирующие трехходовые  КРТПП, латунные диаметром 20 мм</t>
  </si>
  <si>
    <t>Краски масляные земляные  МА-0115: мумия, сурик  железный</t>
  </si>
  <si>
    <t>Краски масляные и алкидные густотертые: цинковые МА-011-2</t>
  </si>
  <si>
    <t>Краски масляные и алкидные густотертые: цинковые МА-011-2Н</t>
  </si>
  <si>
    <t>Краски масляные и алкидные цветные, готовые к применению для наружных работ МА-15</t>
  </si>
  <si>
    <t>Краски масляные и алкидные, готовые к применению белила литопонные: МА-22</t>
  </si>
  <si>
    <t>Краски Э-ВС-17 сухие для внутренних работ</t>
  </si>
  <si>
    <t>Крепления для трубопроводов: кронштейны, планки, хомуты</t>
  </si>
  <si>
    <t>Лак  масляный</t>
  </si>
  <si>
    <t>Лампа накаливания газопольная в прозрачной колбе МО 40-60</t>
  </si>
  <si>
    <t>Лента стальная горячекатаная с катаной кромкой и разрезанная в рулонах толщиной 3.5 мм, шириной 100-220 мм, сталь полуспокойная марки Ст3пс</t>
  </si>
  <si>
    <t>Лента ФУМ</t>
  </si>
  <si>
    <t>Листы асбестоцементные волнистые обыкновенного профиля толщиной 5,5 мм</t>
  </si>
  <si>
    <t>м2</t>
  </si>
  <si>
    <t xml:space="preserve">Манометры общего назначения с трехходовым краном ОБМ1-100 </t>
  </si>
  <si>
    <t>компл.</t>
  </si>
  <si>
    <t>Мастика тиоколовая строительного назначения КБ-0,5</t>
  </si>
  <si>
    <t>Маты минераловатные прошивные без обкладок М-100, толщина  40 мм</t>
  </si>
  <si>
    <t>Металлические изделия</t>
  </si>
  <si>
    <t>Мешки полиэтиленовые, 60 л</t>
  </si>
  <si>
    <t>Мыло</t>
  </si>
  <si>
    <t>Натр едкий (сода каустическая) технический марки ГР</t>
  </si>
  <si>
    <t>Ниппель размером 1</t>
  </si>
  <si>
    <t>Олифа комбинированная К-3</t>
  </si>
  <si>
    <t>Олифа натуральная</t>
  </si>
  <si>
    <t>Очес льняной</t>
  </si>
  <si>
    <t>Паронит</t>
  </si>
  <si>
    <t>Паста меловая ПМ-1</t>
  </si>
  <si>
    <t>Пемза шлаковая (щебень пористый из металлургического шлака), марка 600,фракция от 5 до 10 мм</t>
  </si>
  <si>
    <t>Переходник H-В размером 1"</t>
  </si>
  <si>
    <t>Пигмент тертый</t>
  </si>
  <si>
    <t>Поковки из квадратных заготовок массой 1,8 кг</t>
  </si>
  <si>
    <t>Поковки простые строительные (скобы, закрепы, хомуты и т.п.) массой до 1,6 кг</t>
  </si>
  <si>
    <t>Предохранители плавкие</t>
  </si>
  <si>
    <t>Прокладки толевые уплотнительные 20 x 20 мм</t>
  </si>
  <si>
    <t>Раствор готовый кладочный цементный М100</t>
  </si>
  <si>
    <t>Раствор готовый кладочный цементный М400</t>
  </si>
  <si>
    <t>Резина листовая вулканизованная цветная</t>
  </si>
  <si>
    <t>Сгоны стальные с муфтой и контргайкой, диаметром 32 мм</t>
  </si>
  <si>
    <t>Семена газонной травы</t>
  </si>
  <si>
    <t>Сетка тканая с квадратными ячейками N 05 без покрытия</t>
  </si>
  <si>
    <t>Скамейка без спинки с металлическими опорами</t>
  </si>
  <si>
    <t>Соединительные детали "Vestol" размером 1"</t>
  </si>
  <si>
    <t>Стекло листовое площадью до 1.0 м2, 1 группы, толщиной 3 мм марки М1</t>
  </si>
  <si>
    <t>Термометр прямой (угловой) ртутный (ножка 66 мм) до 160 град С в оправе</t>
  </si>
  <si>
    <t>Ткань хлопчатобумажная техническая</t>
  </si>
  <si>
    <t>Толстолистовой горячекатаный прокат в листах с обрезными кромками толщиной 9 - 12 мм, шириной свыше 1400 до 1500 мм, сталь С255</t>
  </si>
  <si>
    <t>Тройник размером 1"</t>
  </si>
  <si>
    <t>Трубки защитные гофрированные</t>
  </si>
  <si>
    <t>пог. м.</t>
  </si>
  <si>
    <t>Трубы металлопластиковые многослойные диаметром 25 мм</t>
  </si>
  <si>
    <t>пог. м</t>
  </si>
  <si>
    <t>Трубы чугунные канализационные длиной 2 м, диаметром 50 мм</t>
  </si>
  <si>
    <t>Угольник H-В размером 1"</t>
  </si>
  <si>
    <t>Удобрения сложно-смешанные</t>
  </si>
  <si>
    <t>Фасонные части к чугунным трубопроводам диаметром 50 мм</t>
  </si>
  <si>
    <t>т.</t>
  </si>
  <si>
    <t>Фиксатор пластмассовый ординарный для металлополимерных труб размером 1"</t>
  </si>
  <si>
    <t>Цемент глиноземистый марки 400</t>
  </si>
  <si>
    <t>Шайбы плоские из оцинкованной стали</t>
  </si>
  <si>
    <t>Шкурка шлифовальная двухслойная с зернистостью 40-25</t>
  </si>
  <si>
    <t>Шпатлевка клеевая</t>
  </si>
  <si>
    <t>Шпатлевка масленно-клеевая</t>
  </si>
  <si>
    <t>Штапики</t>
  </si>
  <si>
    <t>Шурупы с полукруглой головкой 6 x 80 мм</t>
  </si>
  <si>
    <t>Электроды диаметром 6 мм Э42</t>
  </si>
  <si>
    <t>Специнвентарь</t>
  </si>
  <si>
    <t>Ведро  оцинкованное, 12 л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</si>
  <si>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</si>
  <si>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</si>
  <si>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</si>
  <si>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</si>
  <si>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</si>
  <si>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</si>
  <si>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</si>
  <si>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</si>
  <si>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Машины/Механизмы</t>
  </si>
  <si>
    <t>Вышки телескопические 25 м</t>
  </si>
  <si>
    <t>маш.-час</t>
  </si>
  <si>
    <t>Компрессор передвижной с двигателем внутреннего сгорания</t>
  </si>
  <si>
    <t>маш.-час.</t>
  </si>
  <si>
    <t>с. плодопитомник, ул. Мичурина 5</t>
  </si>
  <si>
    <t>1. КОНСТРУКТИВНЫЕ ЭЛЕМЕНТЫ</t>
  </si>
  <si>
    <t>Общая площадь МКД, м2</t>
  </si>
  <si>
    <t>ТАРИФ,  руб/кв.м. в мес.</t>
  </si>
  <si>
    <t>Исп.  Зам.ген.директора по ЖКХ ЗАО "Амурплодсемпром"</t>
  </si>
  <si>
    <t>И.А. Тимакова</t>
  </si>
  <si>
    <t>2. ВНУТРИДОМОВОЕ ИНЖЕНЕРНОЕ ОБОРУДОВАНИЕ И ТЕХНИЧЕСКИЕ УСТРОЙСТВА</t>
  </si>
  <si>
    <t>2.1. Система теплоснабжения</t>
  </si>
  <si>
    <t>2.2 Системы холодного и горячего водоснабжения</t>
  </si>
  <si>
    <t>2.3. Система водоотведения</t>
  </si>
  <si>
    <t>2.4. Система газоснабжения (ОАО "Амургаз")</t>
  </si>
  <si>
    <t>Техническое обслуживание и ремонт ВДГО</t>
  </si>
  <si>
    <t>2.5. Внутридомовое электрооборудование (ООО "Электромонтаж)</t>
  </si>
  <si>
    <t>Обслуживание электрических сетей, профилактический осмотр, замена вышедших из строя элементов электрооборудования</t>
  </si>
  <si>
    <t>2.6. Подготовка дома к сезонной эксплуатации, проведение технических осмотров</t>
  </si>
  <si>
    <t>3. АВАРИЙНО-ДИСПЕТЧЕРСКОЕ ОБСЛУЖИВАНИЕ</t>
  </si>
  <si>
    <t>4. САНИТАРНОЕ СОДЕРЖАНИЕ МЕСТ ОБЩЕГО ПОЛЬЗОВАНИЯ, УБОРКА И БЛАГОУСТРОЙСТВО ПРИДОМОВОЙ ТЕРРИТОРИИ</t>
  </si>
  <si>
    <t>Заделка мелких неровностей, восстановление нарушенного внутреннего  штукатурного слоя стен и потолков отдельными местами, грунтование специальным раствором</t>
  </si>
  <si>
    <t>Окраска ранее окрашенных поверхностей потолков</t>
  </si>
  <si>
    <t>Простая масляная окраска дверей</t>
  </si>
  <si>
    <t>Текущий ремонт водянных подогревателей</t>
  </si>
  <si>
    <t>Осмотр всех элементов кровель. Проверка кровли на отсутствие протечек, скопление снега и наледи.  Выполнение необходимых работ по устранению неисправностей</t>
  </si>
  <si>
    <t>Осмотр водопровода, канализации . Проверка исправности, работоспособности, регулировка и техническое обслуживание запорной арматуры, разводящих трубопроводов</t>
  </si>
  <si>
    <t>Регулировка и наладка систем отопления. Осмотр устройства системы центрального отопления. Проверка исправности, работоспособности, регулировка и техническое обслуживание запорной арматуры</t>
  </si>
  <si>
    <t>Круглосуточная аварийно-диспетчерская служба.Обеспечение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</si>
  <si>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Услуги по сбору и  транспортировке ТБО населения</t>
  </si>
  <si>
    <t>1000 м2  общей площади жилых помещений</t>
  </si>
  <si>
    <t>1.1. Фундаменты</t>
  </si>
  <si>
    <t>Восстановление (ремонт) отмостки</t>
  </si>
  <si>
    <t>100 м2 отмостки</t>
  </si>
  <si>
    <t>1.2. Кирпичные , каменные, железобетонные стены</t>
  </si>
  <si>
    <t>1.3. Полы</t>
  </si>
  <si>
    <t>1.4. Крыши и кровли</t>
  </si>
  <si>
    <t>1.5. Оконные и дверные проёмы</t>
  </si>
  <si>
    <t xml:space="preserve"> 1.6.Лестницы</t>
  </si>
  <si>
    <t>Ремонт обыкновенной штукатурки   фасадов отдельными местами  сухой растворной смесью , грунтование, покраска составами для наружных работ</t>
  </si>
  <si>
    <t>100 м2 отремонтированной поверхности</t>
  </si>
  <si>
    <t>Смета расходов. Список работ (услуг) по надлежащему содержанию общего имущества МКД. Расчет стоимости работ (услуг)на 2017-2018 г.г.</t>
  </si>
  <si>
    <t>Техническое обслуживание ОДПУ (тепло, вода),  проверка наличия и нарушения пломб. Проверка работоспособности запорной арматуры и очистка фильтра.Снятие и запись показаний с вычислителя в журнал.</t>
  </si>
  <si>
    <t>Перечень услуг и работ на 2015г. определён в соответствии с АКТОМ осмотра технического состояния дома № 5 по ул. Мичурина от "_______" _____________________ 2017г.</t>
  </si>
  <si>
    <t>Перечень услуг и работ определён в соответствии с минимальным перечнем работ, необходимых для  обеспечения надлежащего содержания общего имущества  и утверждён собственниками жилых помещений дома № 5 по ул. Мичурина  "_______" ____________________ 2017г.</t>
  </si>
  <si>
    <t>Уполномоченный представитель с правом подписи _________________________  Осадчая Людмила Александровна</t>
  </si>
  <si>
    <t>Побелка подвальных помещений</t>
  </si>
  <si>
    <t>Простая масляная окраска ранее окрашенных поверхностей стен</t>
  </si>
  <si>
    <t>Уборка подвалов (ИТУ)</t>
  </si>
  <si>
    <t xml:space="preserve">100 м2 </t>
  </si>
  <si>
    <t xml:space="preserve"> Благоустройство : покраска элементов(бордюров, скамеек и пр.) дворовых площадок , рассада цветов</t>
  </si>
  <si>
    <t>Санитарная обрезка деревьев</t>
  </si>
  <si>
    <t>100 шт</t>
  </si>
  <si>
    <t>Перечень услуг и работ на 2017г. определён в соответствии с АКТОМ осмотра технического состояния дома № 5 по ул. Мичурина от "_______" _____________________ 2017г.</t>
  </si>
  <si>
    <t>Проверка состояния  окон и дверей подъездов, подвалов , запорных устройств на них. Изготовление металлических решеток на подвальные помещения Проверка целосности оконных и дверных заполнений Устранение выявленных неисправностей.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</si>
</sst>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</numFmts>
  <fonts count="49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b/>
      <sz val="9"/>
      <color indexed="10"/>
      <name val="Arial"/>
      <family val="2"/>
    </font>
    <font>
      <b/>
      <sz val="11"/>
      <color indexed="10"/>
      <name val="Courier"/>
      <family val="1"/>
    </font>
    <font>
      <b/>
      <sz val="11"/>
      <color indexed="10"/>
      <name val="Arial"/>
      <family val="2"/>
    </font>
    <font>
      <b/>
      <sz val="12"/>
      <color indexed="10"/>
      <name val="Courier"/>
      <family val="1"/>
    </font>
    <font>
      <b/>
      <sz val="9"/>
      <color indexed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5"/>
      <color indexed="10"/>
      <name val="Courier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4" fontId="0" fillId="0" borderId="14" xfId="0" applyNumberFormat="1" applyFill="1" applyBorder="1" applyAlignment="1" applyProtection="1">
      <alignment horizontal="right" vertical="center"/>
      <protection/>
    </xf>
    <xf numFmtId="4" fontId="0" fillId="0" borderId="15" xfId="0" applyNumberForma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6" fillId="0" borderId="0" xfId="0" applyNumberFormat="1" applyFont="1" applyFill="1" applyAlignment="1" applyProtection="1">
      <alignment horizontal="right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right" vertical="center"/>
      <protection/>
    </xf>
    <xf numFmtId="4" fontId="0" fillId="0" borderId="18" xfId="0" applyNumberForma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4" fontId="8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ill="1" applyBorder="1" applyAlignment="1" applyProtection="1">
      <alignment horizontal="right" vertical="center"/>
      <protection/>
    </xf>
    <xf numFmtId="2" fontId="10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4" fontId="0" fillId="0" borderId="20" xfId="0" applyNumberFormat="1" applyFill="1" applyBorder="1" applyAlignment="1" applyProtection="1">
      <alignment horizontal="right" vertical="center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4" fontId="0" fillId="0" borderId="22" xfId="0" applyNumberForma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4" fontId="0" fillId="0" borderId="24" xfId="0" applyNumberFormat="1" applyFill="1" applyBorder="1" applyAlignment="1" applyProtection="1">
      <alignment horizontal="right" vertical="center"/>
      <protection/>
    </xf>
    <xf numFmtId="4" fontId="0" fillId="0" borderId="25" xfId="0" applyNumberForma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 horizontal="center" vertical="center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4" fontId="0" fillId="0" borderId="28" xfId="0" applyNumberFormat="1" applyFill="1" applyBorder="1" applyAlignment="1" applyProtection="1">
      <alignment horizontal="right" vertical="center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/>
      <protection/>
    </xf>
    <xf numFmtId="0" fontId="14" fillId="0" borderId="30" xfId="0" applyFont="1" applyFill="1" applyBorder="1" applyAlignment="1" applyProtection="1">
      <alignment horizontal="center" wrapText="1"/>
      <protection/>
    </xf>
    <xf numFmtId="0" fontId="14" fillId="0" borderId="0" xfId="0" applyFont="1" applyFill="1" applyAlignment="1" applyProtection="1">
      <alignment horizontal="center" wrapText="1"/>
      <protection/>
    </xf>
    <xf numFmtId="4" fontId="5" fillId="0" borderId="0" xfId="0" applyNumberFormat="1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35" xfId="0" applyFont="1" applyFill="1" applyBorder="1" applyAlignment="1" applyProtection="1">
      <alignment horizontal="center" vertical="center"/>
      <protection/>
    </xf>
    <xf numFmtId="0" fontId="12" fillId="0" borderId="36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12" fillId="0" borderId="40" xfId="0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 applyProtection="1">
      <alignment horizontal="left" vertical="center"/>
      <protection/>
    </xf>
    <xf numFmtId="4" fontId="4" fillId="0" borderId="44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4" fillId="0" borderId="0" xfId="0" applyNumberFormat="1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4" fontId="3" fillId="0" borderId="46" xfId="0" applyNumberFormat="1" applyFont="1" applyFill="1" applyBorder="1" applyAlignment="1" applyProtection="1">
      <alignment horizontal="right" vertical="center"/>
      <protection/>
    </xf>
    <xf numFmtId="4" fontId="3" fillId="0" borderId="47" xfId="0" applyNumberFormat="1" applyFont="1" applyFill="1" applyBorder="1" applyAlignment="1" applyProtection="1">
      <alignment horizontal="right" vertical="center"/>
      <protection/>
    </xf>
    <xf numFmtId="0" fontId="2" fillId="33" borderId="48" xfId="0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4" fontId="0" fillId="0" borderId="53" xfId="0" applyNumberFormat="1" applyFill="1" applyBorder="1" applyAlignment="1" applyProtection="1">
      <alignment horizontal="right" vertical="center"/>
      <protection/>
    </xf>
    <xf numFmtId="0" fontId="12" fillId="0" borderId="54" xfId="0" applyFont="1" applyFill="1" applyBorder="1" applyAlignment="1" applyProtection="1">
      <alignment horizontal="center" vertical="center"/>
      <protection/>
    </xf>
    <xf numFmtId="0" fontId="12" fillId="0" borderId="55" xfId="0" applyFont="1" applyFill="1" applyBorder="1" applyAlignment="1" applyProtection="1">
      <alignment horizontal="center" vertical="center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4" fontId="0" fillId="0" borderId="57" xfId="0" applyNumberFormat="1" applyFill="1" applyBorder="1" applyAlignment="1" applyProtection="1">
      <alignment horizontal="right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4" fontId="0" fillId="0" borderId="59" xfId="0" applyNumberFormat="1" applyFill="1" applyBorder="1" applyAlignment="1" applyProtection="1">
      <alignment horizontal="right" vertical="center"/>
      <protection/>
    </xf>
    <xf numFmtId="0" fontId="12" fillId="0" borderId="50" xfId="0" applyFont="1" applyFill="1" applyBorder="1" applyAlignment="1" applyProtection="1">
      <alignment horizontal="center" vertical="center"/>
      <protection/>
    </xf>
    <xf numFmtId="0" fontId="12" fillId="0" borderId="51" xfId="0" applyFont="1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12" fillId="0" borderId="60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12" fillId="0" borderId="61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4" fontId="0" fillId="0" borderId="62" xfId="0" applyNumberFormat="1" applyFill="1" applyBorder="1" applyAlignment="1" applyProtection="1">
      <alignment horizontal="right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left" vertical="center"/>
      <protection/>
    </xf>
    <xf numFmtId="0" fontId="4" fillId="0" borderId="64" xfId="0" applyFont="1" applyFill="1" applyBorder="1" applyAlignment="1" applyProtection="1">
      <alignment horizontal="left" vertical="center"/>
      <protection/>
    </xf>
    <xf numFmtId="4" fontId="4" fillId="0" borderId="64" xfId="0" applyNumberFormat="1" applyFont="1" applyFill="1" applyBorder="1" applyAlignment="1" applyProtection="1">
      <alignment horizontal="right" vertical="center"/>
      <protection/>
    </xf>
    <xf numFmtId="4" fontId="4" fillId="0" borderId="65" xfId="0" applyNumberFormat="1" applyFont="1" applyFill="1" applyBorder="1" applyAlignment="1" applyProtection="1">
      <alignment horizontal="right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52"/>
  <sheetViews>
    <sheetView tabSelected="1" zoomScale="70" zoomScaleNormal="70" zoomScalePageLayoutView="0" workbookViewId="0" topLeftCell="B125">
      <selection activeCell="M139" sqref="B80:M139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8" width="13.00390625" style="0" customWidth="1"/>
    <col min="9" max="9" width="10.8515625" style="0" customWidth="1"/>
    <col min="10" max="10" width="13.00390625" style="0" customWidth="1"/>
    <col min="11" max="12" width="11.00390625" style="0" customWidth="1"/>
    <col min="13" max="13" width="12.57421875" style="0" customWidth="1"/>
    <col min="14" max="14" width="9.8515625" style="0" bestFit="1" customWidth="1"/>
  </cols>
  <sheetData>
    <row r="1" spans="2:13" ht="42" customHeight="1" thickBot="1">
      <c r="B1" s="80" t="s">
        <v>247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5" ht="20.25" thickBot="1">
      <c r="B2" s="81" t="s">
        <v>210</v>
      </c>
      <c r="C2" s="82"/>
      <c r="D2" s="82"/>
      <c r="E2" s="83"/>
      <c r="F2" s="83"/>
      <c r="G2" s="84"/>
      <c r="H2" s="84"/>
      <c r="I2" s="84"/>
      <c r="J2" s="84"/>
      <c r="K2" s="84"/>
      <c r="L2" s="84"/>
      <c r="M2" s="85"/>
      <c r="N2" s="53"/>
      <c r="O2" s="54"/>
    </row>
    <row r="3" spans="2:15" ht="41.25" thickBot="1">
      <c r="B3" s="11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11</v>
      </c>
      <c r="N3" s="53"/>
      <c r="O3" s="54"/>
    </row>
    <row r="4" spans="2:15" ht="15">
      <c r="B4" s="86" t="s">
        <v>211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76"/>
      <c r="N4" s="92"/>
      <c r="O4" s="30"/>
    </row>
    <row r="5" spans="2:13" ht="19.5" customHeight="1">
      <c r="B5" s="77" t="s">
        <v>237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</row>
    <row r="6" spans="2:13" ht="12">
      <c r="B6" s="5">
        <v>1</v>
      </c>
      <c r="C6" s="6" t="s">
        <v>238</v>
      </c>
      <c r="D6" s="6" t="s">
        <v>239</v>
      </c>
      <c r="E6" s="7">
        <v>0</v>
      </c>
      <c r="F6" s="7">
        <v>0</v>
      </c>
      <c r="G6" s="8">
        <v>0</v>
      </c>
      <c r="H6" s="8">
        <f>37930.052535*E6*F6</f>
        <v>0</v>
      </c>
      <c r="I6" s="8">
        <f>0*E6*F6</f>
        <v>0</v>
      </c>
      <c r="J6" s="8">
        <v>0</v>
      </c>
      <c r="K6" s="8">
        <f>0*E6*F6</f>
        <v>0</v>
      </c>
      <c r="L6" s="8">
        <f>719.10465*E6*F6</f>
        <v>0</v>
      </c>
      <c r="M6" s="9">
        <f>SUM(G6:L6)</f>
        <v>0</v>
      </c>
    </row>
    <row r="7" spans="2:13" ht="15.75">
      <c r="B7" s="73" t="s">
        <v>240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</row>
    <row r="8" spans="2:13" ht="36">
      <c r="B8" s="50">
        <v>2</v>
      </c>
      <c r="C8" s="44" t="s">
        <v>252</v>
      </c>
      <c r="D8" s="45" t="s">
        <v>246</v>
      </c>
      <c r="E8" s="28">
        <v>0.47</v>
      </c>
      <c r="F8" s="27">
        <v>1</v>
      </c>
      <c r="G8" s="26">
        <f>954.8396*E8*F8-170+4193.7</f>
        <v>4472.474612</v>
      </c>
      <c r="H8" s="26">
        <f>1329.7566011664*E8*F8+15%+698.63+600</f>
        <v>1923.7656025482079</v>
      </c>
      <c r="I8" s="26">
        <f>0*E8*F8</f>
        <v>0</v>
      </c>
      <c r="J8" s="26">
        <f>718.0393792*E8*F8-130+972.86+1300</f>
        <v>2480.338508224</v>
      </c>
      <c r="K8" s="26">
        <f>0*E8*F8</f>
        <v>0</v>
      </c>
      <c r="L8" s="26">
        <f>525.16178*E8*F8-130+711.53</f>
        <v>828.3560365999999</v>
      </c>
      <c r="M8" s="26">
        <f>SUM(G8:L8)</f>
        <v>9704.934759372209</v>
      </c>
    </row>
    <row r="9" spans="2:15" ht="36">
      <c r="B9" s="41">
        <v>3</v>
      </c>
      <c r="C9" s="36" t="s">
        <v>245</v>
      </c>
      <c r="D9" s="36" t="s">
        <v>246</v>
      </c>
      <c r="E9" s="37">
        <v>0.121</v>
      </c>
      <c r="F9" s="37">
        <v>1</v>
      </c>
      <c r="G9" s="38">
        <f>24256.8*E9*F9</f>
        <v>2935.0728</v>
      </c>
      <c r="H9" s="38">
        <f>7511.111688*E9*F9+1700</f>
        <v>2608.844514248</v>
      </c>
      <c r="I9" s="38">
        <v>0</v>
      </c>
      <c r="J9" s="38">
        <f>18337.718434752*E9*F9</f>
        <v>2218.863930604992</v>
      </c>
      <c r="K9" s="38">
        <f>0*E9*F9</f>
        <v>0</v>
      </c>
      <c r="L9" s="38">
        <f>13411.8951318*E9*F9-900</f>
        <v>722.8393109478</v>
      </c>
      <c r="M9" s="39">
        <f>SUM(G9:L9)</f>
        <v>8485.620555800791</v>
      </c>
      <c r="O9" s="40"/>
    </row>
    <row r="10" spans="2:13" ht="53.25" customHeight="1">
      <c r="B10" s="5">
        <v>4</v>
      </c>
      <c r="C10" s="6" t="s">
        <v>227</v>
      </c>
      <c r="D10" s="6" t="s">
        <v>12</v>
      </c>
      <c r="E10" s="28">
        <v>0.62</v>
      </c>
      <c r="F10" s="27">
        <v>1</v>
      </c>
      <c r="G10" s="26">
        <f>954.8396*E10*F10-170+1293.7</f>
        <v>1715.700552</v>
      </c>
      <c r="H10" s="26">
        <f>1329.7566011664*E10*F10+15%+698.63</f>
        <v>1523.229092723168</v>
      </c>
      <c r="I10" s="26">
        <f>0*E10*F10</f>
        <v>0</v>
      </c>
      <c r="J10" s="26">
        <f>718.0393792*E10*F10-130+972.86</f>
        <v>1288.044415104</v>
      </c>
      <c r="K10" s="26">
        <f>0*E10*F10</f>
        <v>0</v>
      </c>
      <c r="L10" s="26">
        <f>525.16178*E10*F10-130+711.53</f>
        <v>907.1303035999999</v>
      </c>
      <c r="M10" s="26">
        <f>SUM(G10:L10)</f>
        <v>5434.104363427168</v>
      </c>
    </row>
    <row r="11" spans="2:17" ht="27.75" customHeight="1">
      <c r="B11" s="5">
        <v>5</v>
      </c>
      <c r="C11" s="43" t="s">
        <v>253</v>
      </c>
      <c r="D11" s="6" t="s">
        <v>12</v>
      </c>
      <c r="E11" s="7">
        <v>0.622</v>
      </c>
      <c r="F11" s="7">
        <v>1</v>
      </c>
      <c r="G11" s="8">
        <f>954.8396*E11*F11</f>
        <v>593.9102312</v>
      </c>
      <c r="H11" s="8">
        <f>1329.7566011664*E11*F11</f>
        <v>827.1086059255008</v>
      </c>
      <c r="I11" s="8">
        <f>0*E11*F11</f>
        <v>0</v>
      </c>
      <c r="J11" s="8">
        <f>718.0393792*E11*F11</f>
        <v>446.6204938624</v>
      </c>
      <c r="K11" s="8">
        <f>0*E11*F11</f>
        <v>0</v>
      </c>
      <c r="L11" s="8">
        <f>631.47755*E11*F11</f>
        <v>392.7790361</v>
      </c>
      <c r="M11" s="9">
        <f>SUM(G11:L11)</f>
        <v>2260.418367087901</v>
      </c>
      <c r="N11" s="29"/>
      <c r="O11" s="30"/>
      <c r="Q11" s="29"/>
    </row>
    <row r="12" spans="2:15" ht="27" customHeight="1">
      <c r="B12" s="5">
        <v>6</v>
      </c>
      <c r="C12" s="6" t="s">
        <v>228</v>
      </c>
      <c r="D12" s="6" t="s">
        <v>13</v>
      </c>
      <c r="E12" s="7">
        <v>0.622</v>
      </c>
      <c r="F12" s="7">
        <v>1</v>
      </c>
      <c r="G12" s="8">
        <f>1175.1872*E12*F12</f>
        <v>730.9664384</v>
      </c>
      <c r="H12" s="8">
        <f>433.123976703*E12*F12</f>
        <v>269.403113509266</v>
      </c>
      <c r="I12" s="8">
        <f>0*E12*F12</f>
        <v>0</v>
      </c>
      <c r="J12" s="8">
        <f>883.7407744*E12*F12</f>
        <v>549.6867616768</v>
      </c>
      <c r="K12" s="8">
        <f>0*E12*F12</f>
        <v>0</v>
      </c>
      <c r="L12" s="8">
        <f>631.47755*E12*F12</f>
        <v>392.7790361</v>
      </c>
      <c r="M12" s="9">
        <f>SUM(G12:L12)</f>
        <v>1942.835349686066</v>
      </c>
      <c r="O12" s="30"/>
    </row>
    <row r="13" spans="2:13" ht="15.75">
      <c r="B13" s="65" t="s">
        <v>241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72"/>
    </row>
    <row r="14" spans="2:13" ht="12">
      <c r="B14" s="5">
        <v>7</v>
      </c>
      <c r="C14" s="6" t="s">
        <v>14</v>
      </c>
      <c r="D14" s="6" t="s">
        <v>15</v>
      </c>
      <c r="E14" s="31">
        <f>4</f>
        <v>4</v>
      </c>
      <c r="F14" s="7">
        <v>1</v>
      </c>
      <c r="G14" s="8">
        <f>153.6264*E14*F14</f>
        <v>614.5056</v>
      </c>
      <c r="H14" s="8">
        <f>115.107216*E14*F14+15%</f>
        <v>460.57886399999995</v>
      </c>
      <c r="I14" s="8">
        <f>0*E14*F14</f>
        <v>0</v>
      </c>
      <c r="J14" s="8">
        <f>115.5270528*E14*F14</f>
        <v>462.1082112</v>
      </c>
      <c r="K14" s="8">
        <f>0*E14*F14</f>
        <v>0</v>
      </c>
      <c r="L14" s="8">
        <f>69.13188*E14*F14</f>
        <v>276.52752</v>
      </c>
      <c r="M14" s="9">
        <f>SUM(G14:L14)</f>
        <v>1813.7201952</v>
      </c>
    </row>
    <row r="15" spans="2:13" ht="15.75">
      <c r="B15" s="65" t="s">
        <v>242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72"/>
    </row>
    <row r="16" spans="2:13" ht="24">
      <c r="B16" s="5">
        <v>8</v>
      </c>
      <c r="C16" s="43" t="s">
        <v>16</v>
      </c>
      <c r="D16" s="6" t="s">
        <v>17</v>
      </c>
      <c r="E16" s="7">
        <v>0</v>
      </c>
      <c r="F16" s="7">
        <v>0</v>
      </c>
      <c r="G16" s="8">
        <f>7560.7098*E16*F16</f>
        <v>0</v>
      </c>
      <c r="H16" s="8">
        <f>36899.69876592*E16*F16</f>
        <v>0</v>
      </c>
      <c r="I16" s="8">
        <f>0*E16*F16</f>
        <v>0</v>
      </c>
      <c r="J16" s="8">
        <f>5685.6537696*E16*F16</f>
        <v>0</v>
      </c>
      <c r="K16" s="8">
        <f>0*E16*F16</f>
        <v>0</v>
      </c>
      <c r="L16" s="8">
        <f>4158.39039*E16*F16</f>
        <v>0</v>
      </c>
      <c r="M16" s="9">
        <f>SUM(G16:L16)</f>
        <v>0</v>
      </c>
    </row>
    <row r="17" spans="2:13" ht="15.75">
      <c r="B17" s="73" t="s">
        <v>243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</row>
    <row r="18" spans="2:13" ht="54.75" customHeight="1">
      <c r="B18" s="46">
        <v>9</v>
      </c>
      <c r="C18" s="45" t="s">
        <v>260</v>
      </c>
      <c r="D18" s="42" t="s">
        <v>38</v>
      </c>
      <c r="E18" s="28">
        <v>1.3</v>
      </c>
      <c r="F18" s="27">
        <v>2</v>
      </c>
      <c r="G18" s="8">
        <f>63.06768*E18*F18+500+12380</f>
        <v>13043.975968</v>
      </c>
      <c r="H18" s="8">
        <f>630.43+4193</f>
        <v>4823.43</v>
      </c>
      <c r="I18" s="8">
        <f>0*E18*F18</f>
        <v>0</v>
      </c>
      <c r="J18" s="8">
        <f>47.42689536*E18*F18+500+1100</f>
        <v>1723.309927936</v>
      </c>
      <c r="K18" s="8">
        <f>0*E18*F18</f>
        <v>0</v>
      </c>
      <c r="L18" s="8">
        <f>34.687224*E18*F18+300+200</f>
        <v>590.1867824</v>
      </c>
      <c r="M18" s="9">
        <f>SUM(G18:L18)</f>
        <v>20180.902678336</v>
      </c>
    </row>
    <row r="19" spans="2:13" ht="12">
      <c r="B19" s="41">
        <v>10</v>
      </c>
      <c r="C19" s="36" t="s">
        <v>229</v>
      </c>
      <c r="D19" s="36" t="s">
        <v>18</v>
      </c>
      <c r="E19" s="37">
        <v>0.192</v>
      </c>
      <c r="F19" s="37">
        <v>1</v>
      </c>
      <c r="G19" s="38">
        <f>7785.6152*E19*F19</f>
        <v>1494.8381184</v>
      </c>
      <c r="H19" s="38">
        <f>2018.80631544*E19*F19+58.14</f>
        <v>445.75081256448</v>
      </c>
      <c r="I19" s="38">
        <f>0*E19*F19</f>
        <v>0</v>
      </c>
      <c r="J19" s="38">
        <f>5854.7826304*E19*F19</f>
        <v>1124.1182650368</v>
      </c>
      <c r="K19" s="38">
        <f>0*E19*F19</f>
        <v>0</v>
      </c>
      <c r="L19" s="38">
        <f>3503.52684*E19*F19</f>
        <v>672.67715328</v>
      </c>
      <c r="M19" s="39">
        <f>SUM(G19:L19)</f>
        <v>3737.38434928128</v>
      </c>
    </row>
    <row r="20" spans="2:13" ht="15.75">
      <c r="B20" s="65" t="s">
        <v>244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</row>
    <row r="21" spans="2:13" ht="36">
      <c r="B21" s="5">
        <v>11</v>
      </c>
      <c r="C21" s="6" t="s">
        <v>19</v>
      </c>
      <c r="D21" s="6" t="s">
        <v>20</v>
      </c>
      <c r="E21" s="7">
        <v>0.094</v>
      </c>
      <c r="F21" s="7">
        <v>1</v>
      </c>
      <c r="G21" s="8">
        <f>10240.44609*E21*F21</f>
        <v>962.60193246</v>
      </c>
      <c r="H21" s="8">
        <f>1181.87936208*E21*F21+16.6</f>
        <v>127.69666003552001</v>
      </c>
      <c r="I21" s="8">
        <f>0*E21*F21</f>
        <v>0</v>
      </c>
      <c r="J21" s="8">
        <f>7700.81545968*E21*F21-200</f>
        <v>523.8766532099199</v>
      </c>
      <c r="K21" s="8">
        <f>0*E21*F21</f>
        <v>0</v>
      </c>
      <c r="L21" s="8">
        <f>5632.2453495*E21*F21</f>
        <v>529.431062853</v>
      </c>
      <c r="M21" s="9">
        <f>SUM(G21:L21)</f>
        <v>2143.60630855844</v>
      </c>
    </row>
    <row r="22" spans="2:13" ht="24">
      <c r="B22" s="5">
        <v>12</v>
      </c>
      <c r="C22" s="6" t="s">
        <v>21</v>
      </c>
      <c r="D22" s="6" t="s">
        <v>12</v>
      </c>
      <c r="E22" s="7">
        <v>0.4</v>
      </c>
      <c r="F22" s="7">
        <v>1</v>
      </c>
      <c r="G22" s="8">
        <f>6145.056*E22*F22</f>
        <v>2458.0224</v>
      </c>
      <c r="H22" s="8">
        <f>1397.1015018*E22*F22+48</f>
        <v>606.84060072</v>
      </c>
      <c r="I22" s="8">
        <f>0*E22*F22</f>
        <v>0</v>
      </c>
      <c r="J22" s="8">
        <f>4621.082112*E22*F22-500</f>
        <v>1348.4328448</v>
      </c>
      <c r="K22" s="8">
        <f>0*E22*F22</f>
        <v>0</v>
      </c>
      <c r="L22" s="8">
        <f>3379.7808*E22*F22</f>
        <v>1351.9123200000001</v>
      </c>
      <c r="M22" s="9">
        <f>SUM(G22:L22)</f>
        <v>5765.208165520001</v>
      </c>
    </row>
    <row r="23" spans="2:14" ht="24">
      <c r="B23" s="5">
        <v>13</v>
      </c>
      <c r="C23" s="6" t="s">
        <v>22</v>
      </c>
      <c r="D23" s="6" t="s">
        <v>23</v>
      </c>
      <c r="E23" s="31">
        <f>0.27</f>
        <v>0.27</v>
      </c>
      <c r="F23" s="7">
        <v>1</v>
      </c>
      <c r="G23" s="8">
        <f>2005.2288*E23*F23</f>
        <v>541.411776</v>
      </c>
      <c r="H23" s="8">
        <f>308.253104292*E23*F23+12.48</f>
        <v>95.70833815884001</v>
      </c>
      <c r="I23" s="8">
        <f>0*E23*F23</f>
        <v>0</v>
      </c>
      <c r="J23" s="8">
        <f>1507.9320576*E23*F23</f>
        <v>407.14165555200003</v>
      </c>
      <c r="K23" s="8">
        <f>0*E23*F23</f>
        <v>0</v>
      </c>
      <c r="L23" s="8">
        <f>902.35296*E23*F23</f>
        <v>243.63529920000002</v>
      </c>
      <c r="M23" s="9">
        <f>SUM(G23:L23)</f>
        <v>1287.89706891084</v>
      </c>
      <c r="N23" s="29"/>
    </row>
    <row r="24" spans="2:15" ht="15">
      <c r="B24" s="66" t="s">
        <v>216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76"/>
      <c r="N24" s="92"/>
      <c r="O24" s="93"/>
    </row>
    <row r="25" spans="2:15" ht="15.75">
      <c r="B25" s="65" t="s">
        <v>217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72"/>
      <c r="N25" s="29"/>
      <c r="O25" s="30"/>
    </row>
    <row r="26" spans="2:15" ht="12">
      <c r="B26" s="5">
        <v>14</v>
      </c>
      <c r="C26" s="6" t="s">
        <v>230</v>
      </c>
      <c r="D26" s="6" t="s">
        <v>24</v>
      </c>
      <c r="E26" s="7">
        <v>1</v>
      </c>
      <c r="F26" s="7">
        <v>2</v>
      </c>
      <c r="G26" s="8">
        <f>1235.7492*E26*F26</f>
        <v>2471.4984</v>
      </c>
      <c r="H26" s="8">
        <f>4796.27748103*E26*F26-4500</f>
        <v>5092.5549620599995</v>
      </c>
      <c r="I26" s="8">
        <f>0*E26*F26</f>
        <v>0</v>
      </c>
      <c r="J26" s="8">
        <f>929.2833984*E26*F26</f>
        <v>1858.5667968</v>
      </c>
      <c r="K26" s="8">
        <f>0*E26*F26</f>
        <v>0</v>
      </c>
      <c r="L26" s="8">
        <f>556.08714*E26*F26</f>
        <v>1112.17428</v>
      </c>
      <c r="M26" s="9">
        <f>SUM(G26:L26)</f>
        <v>10534.794438859999</v>
      </c>
      <c r="N26" s="29"/>
      <c r="O26" s="30"/>
    </row>
    <row r="27" spans="2:15" ht="36">
      <c r="B27" s="5">
        <v>15</v>
      </c>
      <c r="C27" s="6" t="s">
        <v>25</v>
      </c>
      <c r="D27" s="6" t="s">
        <v>26</v>
      </c>
      <c r="E27" s="7">
        <v>0.2</v>
      </c>
      <c r="F27" s="7">
        <v>1</v>
      </c>
      <c r="G27" s="8">
        <f>9474.9468*E27*F27-600+200+100</f>
        <v>1594.98936</v>
      </c>
      <c r="H27" s="8">
        <f>1321.0766031*E27*F27+600+100</f>
        <v>964.21532062</v>
      </c>
      <c r="I27" s="8">
        <f>0*E27*F27</f>
        <v>0</v>
      </c>
      <c r="J27" s="8">
        <f>7125.1599936*E27*F27-300</f>
        <v>1125.03199872</v>
      </c>
      <c r="K27" s="8">
        <f>0*E27*F27</f>
        <v>0</v>
      </c>
      <c r="L27" s="8">
        <f>5211.22074*E27*F27-606.31</f>
        <v>435.93414800000005</v>
      </c>
      <c r="M27" s="9">
        <f>SUM(G27:L27)</f>
        <v>4120.17082734</v>
      </c>
      <c r="O27" s="30"/>
    </row>
    <row r="28" spans="2:15" ht="15.75">
      <c r="B28" s="65" t="s">
        <v>218</v>
      </c>
      <c r="C28" s="63"/>
      <c r="D28" s="63"/>
      <c r="E28" s="63"/>
      <c r="F28" s="63"/>
      <c r="G28" s="61"/>
      <c r="H28" s="61"/>
      <c r="I28" s="61"/>
      <c r="J28" s="61"/>
      <c r="K28" s="61"/>
      <c r="L28" s="61"/>
      <c r="M28" s="62"/>
      <c r="N28" s="29"/>
      <c r="O28" s="30"/>
    </row>
    <row r="29" spans="2:15" ht="24">
      <c r="B29" s="5">
        <v>16</v>
      </c>
      <c r="C29" s="6" t="s">
        <v>27</v>
      </c>
      <c r="D29" s="6" t="s">
        <v>28</v>
      </c>
      <c r="E29" s="7">
        <v>0.08</v>
      </c>
      <c r="F29" s="7">
        <v>1</v>
      </c>
      <c r="G29" s="8">
        <f>25915.74904*E29*F29</f>
        <v>2073.2599232</v>
      </c>
      <c r="H29" s="8">
        <f>71208.708855*E29*F29+500</f>
        <v>6196.696708400001</v>
      </c>
      <c r="I29" s="8">
        <f>0*E29*F29</f>
        <v>0</v>
      </c>
      <c r="J29" s="8">
        <f>19488.64327808*E29*F29</f>
        <v>1559.0914622464</v>
      </c>
      <c r="K29" s="8">
        <f>0*E29*F29</f>
        <v>0</v>
      </c>
      <c r="L29" s="8">
        <f>11662.087068*E29*F29</f>
        <v>932.9669654400001</v>
      </c>
      <c r="M29" s="9">
        <f>SUM(G29:L29)</f>
        <v>10762.015059286401</v>
      </c>
      <c r="N29" s="29"/>
      <c r="O29" s="30"/>
    </row>
    <row r="30" spans="2:15" ht="15.75">
      <c r="B30" s="60" t="s">
        <v>219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2"/>
      <c r="N30" s="29"/>
      <c r="O30" s="30"/>
    </row>
    <row r="31" spans="2:15" ht="36">
      <c r="B31" s="5">
        <v>17</v>
      </c>
      <c r="C31" s="6" t="s">
        <v>29</v>
      </c>
      <c r="D31" s="6" t="s">
        <v>28</v>
      </c>
      <c r="E31" s="7">
        <v>0.08</v>
      </c>
      <c r="F31" s="7">
        <v>1</v>
      </c>
      <c r="G31" s="8">
        <f>40467.29664*E31*F31</f>
        <v>3237.3837312</v>
      </c>
      <c r="H31" s="8">
        <f>123715.1507943*E31*F31+500</f>
        <v>10397.212063544</v>
      </c>
      <c r="I31" s="8">
        <f>0*E31*F31</f>
        <v>0</v>
      </c>
      <c r="J31" s="8">
        <f>30431.40707328*E31*F31</f>
        <v>2434.5125658624</v>
      </c>
      <c r="K31" s="8">
        <f>0*E31*F31</f>
        <v>0</v>
      </c>
      <c r="L31" s="8">
        <f>18210.283488*E31*F31</f>
        <v>1456.8226790400001</v>
      </c>
      <c r="M31" s="9">
        <f>SUM(G31:L31)</f>
        <v>17525.9310396464</v>
      </c>
      <c r="N31" s="29"/>
      <c r="O31" s="30"/>
    </row>
    <row r="32" spans="2:15" ht="24">
      <c r="B32" s="5">
        <v>18</v>
      </c>
      <c r="C32" s="6" t="s">
        <v>30</v>
      </c>
      <c r="D32" s="6" t="s">
        <v>31</v>
      </c>
      <c r="E32" s="7">
        <v>0.1</v>
      </c>
      <c r="F32" s="7">
        <v>4</v>
      </c>
      <c r="G32" s="8">
        <f>1783.054*E32*F32</f>
        <v>713.2216000000001</v>
      </c>
      <c r="H32" s="8">
        <f>541.6781595*E32*F32</f>
        <v>216.67126380000002</v>
      </c>
      <c r="I32" s="8">
        <f>0*E32*F32</f>
        <v>0</v>
      </c>
      <c r="J32" s="8">
        <f>1340.856608*E32*F32</f>
        <v>536.3426432</v>
      </c>
      <c r="K32" s="8">
        <f>0*E32*F32</f>
        <v>0</v>
      </c>
      <c r="L32" s="8">
        <f>980.6797*E32*F32</f>
        <v>392.27188</v>
      </c>
      <c r="M32" s="9">
        <f>SUM(G32:L32)</f>
        <v>1858.507387</v>
      </c>
      <c r="O32" s="30"/>
    </row>
    <row r="33" spans="2:15" ht="15.75">
      <c r="B33" s="63" t="s">
        <v>220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4"/>
      <c r="N33" s="29"/>
      <c r="O33" s="30"/>
    </row>
    <row r="34" spans="2:15" ht="16.5" customHeight="1">
      <c r="B34" s="5">
        <v>19</v>
      </c>
      <c r="C34" s="6" t="s">
        <v>221</v>
      </c>
      <c r="D34" s="6" t="s">
        <v>40</v>
      </c>
      <c r="E34" s="7">
        <v>0</v>
      </c>
      <c r="F34" s="7">
        <v>0</v>
      </c>
      <c r="G34" s="8">
        <v>0</v>
      </c>
      <c r="H34" s="8">
        <f>0*E34*F34</f>
        <v>0</v>
      </c>
      <c r="I34" s="8">
        <f>0*E34*F34</f>
        <v>0</v>
      </c>
      <c r="J34" s="8">
        <f>0*F34*G34</f>
        <v>0</v>
      </c>
      <c r="K34" s="8">
        <f>0*E34*F34</f>
        <v>0</v>
      </c>
      <c r="L34" s="8">
        <v>0</v>
      </c>
      <c r="M34" s="9">
        <f>SUM(G34:L34)</f>
        <v>0</v>
      </c>
      <c r="O34" s="30"/>
    </row>
    <row r="35" spans="2:15" ht="15.75">
      <c r="B35" s="63" t="s">
        <v>222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4"/>
      <c r="N35" s="29"/>
      <c r="O35" s="30"/>
    </row>
    <row r="36" spans="2:15" ht="36">
      <c r="B36" s="5">
        <v>20</v>
      </c>
      <c r="C36" s="6" t="s">
        <v>223</v>
      </c>
      <c r="D36" s="6" t="s">
        <v>38</v>
      </c>
      <c r="E36" s="7">
        <v>1.268</v>
      </c>
      <c r="F36" s="7">
        <v>12</v>
      </c>
      <c r="G36" s="8">
        <v>18000</v>
      </c>
      <c r="H36" s="8">
        <v>1344.4</v>
      </c>
      <c r="I36" s="8">
        <f>0*E36*F36</f>
        <v>0</v>
      </c>
      <c r="J36" s="8">
        <v>0</v>
      </c>
      <c r="K36" s="8">
        <f>0*E36*F36</f>
        <v>0</v>
      </c>
      <c r="L36" s="8">
        <f>5399.79-4000</f>
        <v>1399.79</v>
      </c>
      <c r="M36" s="9">
        <f>SUM(G36:L36)</f>
        <v>20744.190000000002</v>
      </c>
      <c r="O36" s="30"/>
    </row>
    <row r="37" spans="2:15" ht="15.75">
      <c r="B37" s="65" t="s">
        <v>224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/>
      <c r="N37" s="29"/>
      <c r="O37" s="30"/>
    </row>
    <row r="38" spans="2:15" ht="24">
      <c r="B38" s="5">
        <v>21</v>
      </c>
      <c r="C38" s="6" t="s">
        <v>32</v>
      </c>
      <c r="D38" s="6" t="s">
        <v>33</v>
      </c>
      <c r="E38" s="7">
        <v>1.268</v>
      </c>
      <c r="F38" s="7">
        <v>1</v>
      </c>
      <c r="G38" s="8">
        <f>63.06768*E38*F38</f>
        <v>79.96981824000001</v>
      </c>
      <c r="H38" s="8">
        <f>0*E38*F38</f>
        <v>0</v>
      </c>
      <c r="I38" s="8">
        <f>0*E38*F38</f>
        <v>0</v>
      </c>
      <c r="J38" s="8">
        <f>47.42689536*E38*F38</f>
        <v>60.13730331648001</v>
      </c>
      <c r="K38" s="8">
        <f aca="true" t="shared" si="0" ref="K38:K44">0*E38*F38</f>
        <v>0</v>
      </c>
      <c r="L38" s="8">
        <f>28.380456*E38*F38</f>
        <v>35.986418207999996</v>
      </c>
      <c r="M38" s="9">
        <f aca="true" t="shared" si="1" ref="M38:M44">SUM(G38:L38)</f>
        <v>176.09353976448003</v>
      </c>
      <c r="N38" s="29"/>
      <c r="O38" s="30"/>
    </row>
    <row r="39" spans="2:15" ht="48">
      <c r="B39" s="5">
        <v>22</v>
      </c>
      <c r="C39" s="25" t="s">
        <v>231</v>
      </c>
      <c r="D39" s="6" t="s">
        <v>34</v>
      </c>
      <c r="E39" s="7">
        <v>0.6</v>
      </c>
      <c r="F39" s="7">
        <v>2</v>
      </c>
      <c r="G39" s="8">
        <v>1515.91</v>
      </c>
      <c r="H39" s="8">
        <f>0*E39*F39+654.7</f>
        <v>654.7</v>
      </c>
      <c r="I39" s="8">
        <v>1800</v>
      </c>
      <c r="J39" s="8">
        <v>1237.96</v>
      </c>
      <c r="K39" s="8">
        <f t="shared" si="0"/>
        <v>0</v>
      </c>
      <c r="L39" s="8">
        <v>283.75</v>
      </c>
      <c r="M39" s="9">
        <f t="shared" si="1"/>
        <v>5492.32</v>
      </c>
      <c r="O39" s="30"/>
    </row>
    <row r="40" spans="2:13" ht="54" customHeight="1">
      <c r="B40" s="5">
        <v>23</v>
      </c>
      <c r="C40" s="25" t="s">
        <v>232</v>
      </c>
      <c r="D40" s="6" t="s">
        <v>35</v>
      </c>
      <c r="E40" s="7">
        <v>0.27</v>
      </c>
      <c r="F40" s="7">
        <v>2</v>
      </c>
      <c r="G40" s="8">
        <f>10592.136*E40*F40+800</f>
        <v>6519.75344</v>
      </c>
      <c r="H40" s="8">
        <v>2225</v>
      </c>
      <c r="I40" s="8">
        <f>0*E40*F40</f>
        <v>0</v>
      </c>
      <c r="J40" s="8">
        <f>7965.286272*E40*F40+600</f>
        <v>4901.254586880001</v>
      </c>
      <c r="K40" s="8">
        <f t="shared" si="0"/>
        <v>0</v>
      </c>
      <c r="L40" s="8">
        <f>5825.6748*E40*F40-1200</f>
        <v>1945.864392</v>
      </c>
      <c r="M40" s="9">
        <f t="shared" si="1"/>
        <v>15591.87241888</v>
      </c>
    </row>
    <row r="41" spans="2:15" ht="12">
      <c r="B41" s="5">
        <v>24</v>
      </c>
      <c r="C41" s="6" t="s">
        <v>36</v>
      </c>
      <c r="D41" s="6" t="s">
        <v>37</v>
      </c>
      <c r="E41" s="7">
        <v>50.74</v>
      </c>
      <c r="F41" s="7">
        <v>2</v>
      </c>
      <c r="G41" s="8">
        <f>153.585972*E41*F41-7000</f>
        <v>8585.904438560001</v>
      </c>
      <c r="H41" s="8">
        <v>0</v>
      </c>
      <c r="I41" s="8">
        <f>0*E41*F41</f>
        <v>0</v>
      </c>
      <c r="J41" s="8">
        <f>115.496650944*E41*F41-9600</f>
        <v>2120.6001377971206</v>
      </c>
      <c r="K41" s="8">
        <f t="shared" si="0"/>
        <v>0</v>
      </c>
      <c r="L41" s="8">
        <f>84.4722846*E41*F41-3600</f>
        <v>4972.247441207999</v>
      </c>
      <c r="M41" s="9">
        <f t="shared" si="1"/>
        <v>15678.75201756512</v>
      </c>
      <c r="O41" s="30"/>
    </row>
    <row r="42" spans="2:13" ht="24">
      <c r="B42" s="5">
        <v>25</v>
      </c>
      <c r="C42" s="6" t="s">
        <v>39</v>
      </c>
      <c r="D42" s="6" t="s">
        <v>38</v>
      </c>
      <c r="E42" s="7">
        <v>1.268</v>
      </c>
      <c r="F42" s="7">
        <v>2</v>
      </c>
      <c r="G42" s="8">
        <f>679.1904*E42*F42-500</f>
        <v>1222.4268544</v>
      </c>
      <c r="H42" s="8">
        <f>0*E42*F42</f>
        <v>0</v>
      </c>
      <c r="I42" s="8">
        <f>0*E42*F42</f>
        <v>0</v>
      </c>
      <c r="J42" s="8">
        <f>510.7511808*E42*F42</f>
        <v>1295.2649945087999</v>
      </c>
      <c r="K42" s="8">
        <f t="shared" si="0"/>
        <v>0</v>
      </c>
      <c r="L42" s="8">
        <f>373.55472*E42*F42</f>
        <v>947.33476992</v>
      </c>
      <c r="M42" s="9">
        <f t="shared" si="1"/>
        <v>3465.0266188287997</v>
      </c>
    </row>
    <row r="43" spans="2:13" ht="48">
      <c r="B43" s="5">
        <v>26</v>
      </c>
      <c r="C43" s="25" t="s">
        <v>233</v>
      </c>
      <c r="D43" s="6" t="s">
        <v>40</v>
      </c>
      <c r="E43" s="7">
        <v>1</v>
      </c>
      <c r="F43" s="7">
        <v>2</v>
      </c>
      <c r="G43" s="8">
        <f>646.848*E43*F43+2700</f>
        <v>3993.696</v>
      </c>
      <c r="H43" s="8">
        <v>2314.49</v>
      </c>
      <c r="I43" s="8">
        <f>0*E43*F43</f>
        <v>0</v>
      </c>
      <c r="J43" s="8">
        <f>486.429696*E43*F43+1320</f>
        <v>2292.859392</v>
      </c>
      <c r="K43" s="8">
        <f t="shared" si="0"/>
        <v>0</v>
      </c>
      <c r="L43" s="8">
        <f>355.7664*E43*F43</f>
        <v>711.5328</v>
      </c>
      <c r="M43" s="9">
        <f t="shared" si="1"/>
        <v>9312.578192</v>
      </c>
    </row>
    <row r="44" spans="2:15" ht="24">
      <c r="B44" s="5">
        <v>27</v>
      </c>
      <c r="C44" s="6" t="s">
        <v>41</v>
      </c>
      <c r="D44" s="6" t="s">
        <v>42</v>
      </c>
      <c r="E44" s="7">
        <v>51.31</v>
      </c>
      <c r="F44" s="7">
        <v>1</v>
      </c>
      <c r="G44" s="8">
        <f>153.587886*E44*F44-2000</f>
        <v>5880.59443066</v>
      </c>
      <c r="H44" s="8">
        <f>9.605*E44*F44</f>
        <v>492.83255</v>
      </c>
      <c r="I44" s="8">
        <f>0*E44*F44</f>
        <v>0</v>
      </c>
      <c r="J44" s="8">
        <f>115.498090272*E44*F44-1000</f>
        <v>4926.207011856321</v>
      </c>
      <c r="K44" s="8">
        <f t="shared" si="0"/>
        <v>0</v>
      </c>
      <c r="L44" s="8">
        <f>84.4733373*E44*F44-1000</f>
        <v>3334.326936863</v>
      </c>
      <c r="M44" s="9">
        <f t="shared" si="1"/>
        <v>14633.960929379322</v>
      </c>
      <c r="O44" s="30"/>
    </row>
    <row r="45" spans="2:13" ht="60.75" customHeight="1">
      <c r="B45" s="5">
        <v>28</v>
      </c>
      <c r="C45" s="6" t="s">
        <v>248</v>
      </c>
      <c r="D45" s="6" t="s">
        <v>43</v>
      </c>
      <c r="E45" s="7">
        <v>2</v>
      </c>
      <c r="F45" s="7">
        <v>12</v>
      </c>
      <c r="G45" s="8">
        <v>945.18</v>
      </c>
      <c r="H45" s="8">
        <v>0</v>
      </c>
      <c r="I45" s="8">
        <v>0</v>
      </c>
      <c r="J45" s="8">
        <v>710.78</v>
      </c>
      <c r="K45" s="8">
        <v>0</v>
      </c>
      <c r="L45" s="8">
        <v>425</v>
      </c>
      <c r="M45" s="8">
        <v>2081.29</v>
      </c>
    </row>
    <row r="46" spans="2:15" ht="15">
      <c r="B46" s="66" t="s">
        <v>225</v>
      </c>
      <c r="C46" s="67"/>
      <c r="D46" s="67"/>
      <c r="E46" s="67"/>
      <c r="F46" s="67"/>
      <c r="G46" s="68"/>
      <c r="H46" s="68"/>
      <c r="I46" s="68"/>
      <c r="J46" s="68"/>
      <c r="K46" s="68"/>
      <c r="L46" s="68"/>
      <c r="M46" s="69"/>
      <c r="N46" s="29"/>
      <c r="O46" s="30"/>
    </row>
    <row r="47" spans="2:13" ht="60">
      <c r="B47" s="5">
        <v>29</v>
      </c>
      <c r="C47" s="25" t="s">
        <v>234</v>
      </c>
      <c r="D47" s="6" t="s">
        <v>40</v>
      </c>
      <c r="E47" s="7">
        <v>1</v>
      </c>
      <c r="F47" s="28">
        <v>365</v>
      </c>
      <c r="G47" s="26">
        <v>5642.88</v>
      </c>
      <c r="H47" s="26">
        <f>0*E47*F47</f>
        <v>0</v>
      </c>
      <c r="I47" s="26">
        <f>0*E47*F47</f>
        <v>0</v>
      </c>
      <c r="J47" s="26">
        <f>G47*45%</f>
        <v>2539.2960000000003</v>
      </c>
      <c r="K47" s="26">
        <f>0*E47*F47</f>
        <v>0</v>
      </c>
      <c r="L47" s="26">
        <f>G47*20%</f>
        <v>1128.576</v>
      </c>
      <c r="M47" s="26">
        <f>SUM(G47:L47)</f>
        <v>9310.752</v>
      </c>
    </row>
    <row r="48" spans="2:15" ht="15">
      <c r="B48" s="66" t="s">
        <v>226</v>
      </c>
      <c r="C48" s="67"/>
      <c r="D48" s="67"/>
      <c r="E48" s="67"/>
      <c r="F48" s="67"/>
      <c r="G48" s="70"/>
      <c r="H48" s="70"/>
      <c r="I48" s="70"/>
      <c r="J48" s="70"/>
      <c r="K48" s="70"/>
      <c r="L48" s="70"/>
      <c r="M48" s="71"/>
      <c r="N48" s="29"/>
      <c r="O48" s="30"/>
    </row>
    <row r="49" spans="2:13" ht="12">
      <c r="B49" s="5">
        <v>30</v>
      </c>
      <c r="C49" s="43" t="s">
        <v>254</v>
      </c>
      <c r="D49" s="43" t="s">
        <v>255</v>
      </c>
      <c r="E49" s="7">
        <v>4.734</v>
      </c>
      <c r="F49" s="7">
        <v>2</v>
      </c>
      <c r="G49" s="8">
        <f>56.307219510372*E49*F49</f>
        <v>533.1167543242021</v>
      </c>
      <c r="H49" s="8">
        <f>0.183571172892*E49*F49+1.12+340</f>
        <v>342.85805186494144</v>
      </c>
      <c r="I49" s="8">
        <f>0*E49*F49</f>
        <v>0</v>
      </c>
      <c r="J49" s="8">
        <f>42.3430290718*E49*F49</f>
        <v>400.90379925180235</v>
      </c>
      <c r="K49" s="8">
        <f>0*E49*F49</f>
        <v>0</v>
      </c>
      <c r="L49" s="8">
        <f>25.338248779667*E49*F49</f>
        <v>239.90253944588716</v>
      </c>
      <c r="M49" s="9">
        <f>SUM(G49:L49)</f>
        <v>1516.781144886833</v>
      </c>
    </row>
    <row r="50" spans="2:13" ht="12">
      <c r="B50" s="5">
        <v>31</v>
      </c>
      <c r="C50" s="43" t="s">
        <v>257</v>
      </c>
      <c r="D50" s="43" t="s">
        <v>258</v>
      </c>
      <c r="E50" s="7">
        <v>0.05</v>
      </c>
      <c r="F50" s="7">
        <v>1</v>
      </c>
      <c r="G50" s="8">
        <v>1859.52</v>
      </c>
      <c r="H50" s="8">
        <v>408.56</v>
      </c>
      <c r="I50" s="8">
        <v>3000</v>
      </c>
      <c r="J50" s="8">
        <v>1115.17</v>
      </c>
      <c r="K50" s="8">
        <v>0</v>
      </c>
      <c r="L50" s="8">
        <v>136.98</v>
      </c>
      <c r="M50" s="9">
        <f>SUM(G50:L50)</f>
        <v>6520.23</v>
      </c>
    </row>
    <row r="51" spans="2:13" ht="24">
      <c r="B51" s="5">
        <v>32</v>
      </c>
      <c r="C51" s="6" t="s">
        <v>44</v>
      </c>
      <c r="D51" s="6" t="s">
        <v>45</v>
      </c>
      <c r="E51" s="7">
        <v>0.267</v>
      </c>
      <c r="F51" s="7">
        <v>78</v>
      </c>
      <c r="G51" s="8">
        <f>246.6108*E51*F51</f>
        <v>5135.9165208</v>
      </c>
      <c r="H51" s="8">
        <f>4.525965*E51*F51</f>
        <v>94.25774709000001</v>
      </c>
      <c r="I51" s="8">
        <v>0</v>
      </c>
      <c r="J51" s="8">
        <f>185.4513216*E51*F51-500</f>
        <v>3362.2092236416006</v>
      </c>
      <c r="K51" s="8">
        <f aca="true" t="shared" si="2" ref="K51:K58">0*E51*F51</f>
        <v>0</v>
      </c>
      <c r="L51" s="8">
        <f>135.63594*E51*F51-500</f>
        <v>2324.7540864400003</v>
      </c>
      <c r="M51" s="9">
        <f aca="true" t="shared" si="3" ref="M51:M58">SUM(G51:L51)</f>
        <v>10917.1375779716</v>
      </c>
    </row>
    <row r="52" spans="2:13" ht="12">
      <c r="B52" s="5">
        <v>33</v>
      </c>
      <c r="C52" s="6" t="s">
        <v>46</v>
      </c>
      <c r="D52" s="6" t="s">
        <v>47</v>
      </c>
      <c r="E52" s="7">
        <v>0.03</v>
      </c>
      <c r="F52" s="7">
        <v>52</v>
      </c>
      <c r="G52" s="8">
        <f>1071.342*E52*F52</f>
        <v>1671.2935200000002</v>
      </c>
      <c r="H52" s="8">
        <f>5.5728*E52*F52+15</f>
        <v>23.693568</v>
      </c>
      <c r="I52" s="8">
        <f aca="true" t="shared" si="4" ref="I52:I58">0*E52*F52</f>
        <v>0</v>
      </c>
      <c r="J52" s="8">
        <f>805.649184*E52*F52-100</f>
        <v>1156.81272704</v>
      </c>
      <c r="K52" s="8">
        <f t="shared" si="2"/>
        <v>0</v>
      </c>
      <c r="L52" s="8">
        <f>589.2381*E52*F52</f>
        <v>919.211436</v>
      </c>
      <c r="M52" s="9">
        <f t="shared" si="3"/>
        <v>3771.01125104</v>
      </c>
    </row>
    <row r="53" spans="2:13" ht="36">
      <c r="B53" s="5">
        <v>34</v>
      </c>
      <c r="C53" s="6" t="s">
        <v>48</v>
      </c>
      <c r="D53" s="6" t="s">
        <v>49</v>
      </c>
      <c r="E53" s="7">
        <v>0.027</v>
      </c>
      <c r="F53" s="7">
        <v>52</v>
      </c>
      <c r="G53" s="8">
        <f>3817.7508*E53*F53</f>
        <v>5360.1221232</v>
      </c>
      <c r="H53" s="8">
        <f>72.813921*E53*F53</f>
        <v>102.23074508399999</v>
      </c>
      <c r="I53" s="8">
        <f t="shared" si="4"/>
        <v>0</v>
      </c>
      <c r="J53" s="8">
        <f>2870.9486016*E53*F53-500</f>
        <v>3530.8118366463996</v>
      </c>
      <c r="K53" s="8">
        <f t="shared" si="2"/>
        <v>0</v>
      </c>
      <c r="L53" s="8">
        <f>2099.76294*E53*F53</f>
        <v>2948.0671677600003</v>
      </c>
      <c r="M53" s="9">
        <f t="shared" si="3"/>
        <v>11941.2318726904</v>
      </c>
    </row>
    <row r="54" spans="2:13" ht="36">
      <c r="B54" s="5">
        <v>35</v>
      </c>
      <c r="C54" s="6" t="s">
        <v>50</v>
      </c>
      <c r="D54" s="6" t="s">
        <v>49</v>
      </c>
      <c r="E54" s="7">
        <v>0.027</v>
      </c>
      <c r="F54" s="7">
        <v>6</v>
      </c>
      <c r="G54" s="8">
        <f>16619.9508*E54*F54</f>
        <v>2692.4320295999996</v>
      </c>
      <c r="H54" s="8">
        <f>258.31476*E54*F54</f>
        <v>41.84699112</v>
      </c>
      <c r="I54" s="8">
        <f t="shared" si="4"/>
        <v>0</v>
      </c>
      <c r="J54" s="8">
        <f>12498.2030016*E54*F54-200</f>
        <v>1824.7088862592002</v>
      </c>
      <c r="K54" s="8">
        <f t="shared" si="2"/>
        <v>0</v>
      </c>
      <c r="L54" s="8">
        <f>9140.97294*E54*F54-37.03</f>
        <v>1443.8076162799998</v>
      </c>
      <c r="M54" s="9">
        <f t="shared" si="3"/>
        <v>6002.795523259199</v>
      </c>
    </row>
    <row r="55" spans="2:13" ht="24">
      <c r="B55" s="5">
        <v>36</v>
      </c>
      <c r="C55" s="6" t="s">
        <v>51</v>
      </c>
      <c r="D55" s="6" t="s">
        <v>13</v>
      </c>
      <c r="E55" s="7">
        <v>0.135</v>
      </c>
      <c r="F55" s="7">
        <v>52</v>
      </c>
      <c r="G55" s="8">
        <f>185.9688*E55*F55</f>
        <v>1305.500976</v>
      </c>
      <c r="H55" s="8">
        <f>0.72664797*E55*F55</f>
        <v>5.1010687494</v>
      </c>
      <c r="I55" s="8">
        <f t="shared" si="4"/>
        <v>0</v>
      </c>
      <c r="J55" s="8">
        <f>139.8485376*E55*F55</f>
        <v>981.7367339519999</v>
      </c>
      <c r="K55" s="8">
        <f t="shared" si="2"/>
        <v>0</v>
      </c>
      <c r="L55" s="8">
        <f>102.28284*E55*F55</f>
        <v>718.0255368</v>
      </c>
      <c r="M55" s="9">
        <f t="shared" si="3"/>
        <v>3010.3643155013997</v>
      </c>
    </row>
    <row r="56" spans="2:13" ht="24">
      <c r="B56" s="5">
        <v>37</v>
      </c>
      <c r="C56" s="6" t="s">
        <v>52</v>
      </c>
      <c r="D56" s="6" t="s">
        <v>13</v>
      </c>
      <c r="E56" s="7">
        <v>0.135</v>
      </c>
      <c r="F56" s="7">
        <v>52</v>
      </c>
      <c r="G56" s="8">
        <f>34.3638*E56*F56</f>
        <v>241.233876</v>
      </c>
      <c r="H56" s="8">
        <f>0.3472164*E56*F56</f>
        <v>2.437459128</v>
      </c>
      <c r="I56" s="8">
        <f t="shared" si="4"/>
        <v>0</v>
      </c>
      <c r="J56" s="8">
        <f>25.8415776*E56*F56</f>
        <v>181.407874752</v>
      </c>
      <c r="K56" s="8">
        <f t="shared" si="2"/>
        <v>0</v>
      </c>
      <c r="L56" s="8">
        <f>18.90009*E56*F56</f>
        <v>132.6786318</v>
      </c>
      <c r="M56" s="9">
        <f t="shared" si="3"/>
        <v>557.75784168</v>
      </c>
    </row>
    <row r="57" spans="2:13" ht="12">
      <c r="B57" s="5">
        <v>38</v>
      </c>
      <c r="C57" s="6" t="s">
        <v>53</v>
      </c>
      <c r="D57" s="6" t="s">
        <v>13</v>
      </c>
      <c r="E57" s="7">
        <v>0.046</v>
      </c>
      <c r="F57" s="7">
        <v>26</v>
      </c>
      <c r="G57" s="8">
        <f>808.56*E57*F57</f>
        <v>967.0377599999999</v>
      </c>
      <c r="H57" s="8">
        <f>2.58546702*E57*F57</f>
        <v>3.0922185559199997</v>
      </c>
      <c r="I57" s="8">
        <f t="shared" si="4"/>
        <v>0</v>
      </c>
      <c r="J57" s="8">
        <f>608.03712*E57*F57</f>
        <v>727.2123955199999</v>
      </c>
      <c r="K57" s="8">
        <f t="shared" si="2"/>
        <v>0</v>
      </c>
      <c r="L57" s="8">
        <f>444.708*E57*F57</f>
        <v>531.870768</v>
      </c>
      <c r="M57" s="9">
        <f t="shared" si="3"/>
        <v>2229.2131420759197</v>
      </c>
    </row>
    <row r="58" spans="2:13" ht="12">
      <c r="B58" s="5">
        <v>39</v>
      </c>
      <c r="C58" s="6" t="s">
        <v>54</v>
      </c>
      <c r="D58" s="6" t="s">
        <v>55</v>
      </c>
      <c r="E58" s="7">
        <v>0.046</v>
      </c>
      <c r="F58" s="7">
        <v>52</v>
      </c>
      <c r="G58" s="8">
        <f>327.4668*E58*F58</f>
        <v>783.3005856</v>
      </c>
      <c r="H58" s="8">
        <f>1.48608*E58*F58</f>
        <v>3.5547033600000004</v>
      </c>
      <c r="I58" s="8">
        <f t="shared" si="4"/>
        <v>0</v>
      </c>
      <c r="J58" s="8">
        <f>246.2550336*E58*F58</f>
        <v>589.0420403712</v>
      </c>
      <c r="K58" s="8">
        <f t="shared" si="2"/>
        <v>0</v>
      </c>
      <c r="L58" s="8">
        <f>180.10674*E58*F58</f>
        <v>430.81532208</v>
      </c>
      <c r="M58" s="9">
        <f t="shared" si="3"/>
        <v>1806.7126514111999</v>
      </c>
    </row>
    <row r="59" spans="2:15" ht="36">
      <c r="B59" s="5">
        <v>40</v>
      </c>
      <c r="C59" s="32" t="s">
        <v>235</v>
      </c>
      <c r="D59" s="34" t="s">
        <v>236</v>
      </c>
      <c r="E59" s="35">
        <v>1.264</v>
      </c>
      <c r="F59" s="49">
        <v>52</v>
      </c>
      <c r="G59" s="33">
        <f>1268*2.42*12</f>
        <v>36822.72</v>
      </c>
      <c r="H59" s="33">
        <v>0</v>
      </c>
      <c r="I59" s="33">
        <v>0</v>
      </c>
      <c r="J59" s="33">
        <v>0</v>
      </c>
      <c r="K59" s="33">
        <v>0</v>
      </c>
      <c r="L59" s="33">
        <f>G59*2%</f>
        <v>736.4544000000001</v>
      </c>
      <c r="M59" s="48">
        <f>SUM(G59:L59)</f>
        <v>37559.1744</v>
      </c>
      <c r="N59" s="29"/>
      <c r="O59" s="30"/>
    </row>
    <row r="60" spans="2:15" ht="24.75" thickBot="1">
      <c r="B60" s="5">
        <v>41</v>
      </c>
      <c r="C60" s="45" t="s">
        <v>256</v>
      </c>
      <c r="D60" s="42" t="s">
        <v>45</v>
      </c>
      <c r="E60" s="27"/>
      <c r="F60" s="37">
        <v>1</v>
      </c>
      <c r="G60" s="8">
        <v>673.26</v>
      </c>
      <c r="H60" s="8">
        <v>1596.7</v>
      </c>
      <c r="I60" s="8">
        <f>0*E60*F60</f>
        <v>0</v>
      </c>
      <c r="J60" s="8">
        <v>453.6</v>
      </c>
      <c r="K60" s="8">
        <f>0*E60*F60</f>
        <v>0</v>
      </c>
      <c r="L60" s="8">
        <v>323.4</v>
      </c>
      <c r="M60" s="39">
        <f>SUM(G60:L60)</f>
        <v>3046.96</v>
      </c>
      <c r="O60" s="30"/>
    </row>
    <row r="61" spans="2:15" ht="12.75" thickBot="1">
      <c r="B61" s="57" t="s">
        <v>56</v>
      </c>
      <c r="C61" s="58"/>
      <c r="D61" s="58"/>
      <c r="E61" s="58"/>
      <c r="F61" s="58"/>
      <c r="G61" s="47">
        <f aca="true" t="shared" si="5" ref="G61:M61">SUM(G6:G60)</f>
        <v>150085.6025702442</v>
      </c>
      <c r="H61" s="47">
        <f t="shared" si="5"/>
        <v>46235.461625809236</v>
      </c>
      <c r="I61" s="47">
        <f t="shared" si="5"/>
        <v>4800</v>
      </c>
      <c r="J61" s="47">
        <f t="shared" si="5"/>
        <v>54494.06207782863</v>
      </c>
      <c r="K61" s="47">
        <f t="shared" si="5"/>
        <v>0</v>
      </c>
      <c r="L61" s="47">
        <f t="shared" si="5"/>
        <v>37308.80007636569</v>
      </c>
      <c r="M61" s="12">
        <f t="shared" si="5"/>
        <v>292924.2563502478</v>
      </c>
      <c r="O61" s="30"/>
    </row>
    <row r="62" spans="4:11" ht="19.5">
      <c r="D62" s="59" t="s">
        <v>57</v>
      </c>
      <c r="E62" s="59"/>
      <c r="F62" s="59"/>
      <c r="G62" s="59"/>
      <c r="H62" s="59"/>
      <c r="I62" s="59"/>
      <c r="J62" s="59"/>
      <c r="K62" s="59"/>
    </row>
    <row r="63" spans="4:11" ht="15">
      <c r="D63" s="14" t="s">
        <v>58</v>
      </c>
      <c r="E63" s="55">
        <f>G61</f>
        <v>150085.6025702442</v>
      </c>
      <c r="F63" s="55"/>
      <c r="G63" s="13"/>
      <c r="H63" s="13"/>
      <c r="I63" s="14" t="s">
        <v>59</v>
      </c>
      <c r="J63" s="55">
        <f>J61</f>
        <v>54494.06207782863</v>
      </c>
      <c r="K63" s="55"/>
    </row>
    <row r="64" spans="4:11" ht="15">
      <c r="D64" s="14" t="s">
        <v>60</v>
      </c>
      <c r="E64" s="55">
        <f>H61</f>
        <v>46235.461625809236</v>
      </c>
      <c r="F64" s="55"/>
      <c r="G64" s="13"/>
      <c r="H64" s="13"/>
      <c r="I64" s="14" t="s">
        <v>61</v>
      </c>
      <c r="J64" s="55">
        <f>K61</f>
        <v>0</v>
      </c>
      <c r="K64" s="55"/>
    </row>
    <row r="65" spans="4:11" ht="15">
      <c r="D65" s="14" t="s">
        <v>62</v>
      </c>
      <c r="E65" s="55">
        <f>I61</f>
        <v>4800</v>
      </c>
      <c r="F65" s="55"/>
      <c r="G65" s="13"/>
      <c r="H65" s="13"/>
      <c r="I65" s="14" t="s">
        <v>63</v>
      </c>
      <c r="J65" s="55">
        <f>L61</f>
        <v>37308.80007636569</v>
      </c>
      <c r="K65" s="55"/>
    </row>
    <row r="66" spans="4:11" ht="15">
      <c r="D66" s="14"/>
      <c r="E66" s="13"/>
      <c r="F66" s="13"/>
      <c r="G66" s="13"/>
      <c r="H66" s="13"/>
      <c r="I66" s="14" t="s">
        <v>64</v>
      </c>
      <c r="J66" s="55">
        <f>M61</f>
        <v>292924.2563502478</v>
      </c>
      <c r="K66" s="55"/>
    </row>
    <row r="67" spans="8:11" ht="15">
      <c r="H67" s="56" t="s">
        <v>212</v>
      </c>
      <c r="I67" s="56"/>
      <c r="J67" s="56"/>
      <c r="K67" s="22">
        <v>1268</v>
      </c>
    </row>
    <row r="68" spans="8:11" ht="15">
      <c r="H68" s="56" t="s">
        <v>213</v>
      </c>
      <c r="I68" s="56"/>
      <c r="J68" s="56"/>
      <c r="K68" s="22">
        <f>J66/K67/12</f>
        <v>19.25106837212459</v>
      </c>
    </row>
    <row r="70" spans="2:6" ht="12.75">
      <c r="B70" s="23" t="s">
        <v>214</v>
      </c>
      <c r="C70" s="23"/>
      <c r="D70" s="23"/>
      <c r="E70" s="23"/>
      <c r="F70" s="23" t="s">
        <v>215</v>
      </c>
    </row>
    <row r="71" spans="2:6" ht="12.75">
      <c r="B71" s="23"/>
      <c r="C71" s="23"/>
      <c r="D71" s="23"/>
      <c r="E71" s="23"/>
      <c r="F71" s="23"/>
    </row>
    <row r="72" spans="2:13" ht="12.75">
      <c r="B72" s="51" t="s">
        <v>249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</row>
    <row r="73" spans="2:10" ht="28.5" customHeight="1">
      <c r="B73" s="51" t="s">
        <v>250</v>
      </c>
      <c r="C73" s="51"/>
      <c r="D73" s="51"/>
      <c r="E73" s="51"/>
      <c r="F73" s="51"/>
      <c r="G73" s="51"/>
      <c r="H73" s="51"/>
      <c r="I73" s="51"/>
      <c r="J73" s="51"/>
    </row>
    <row r="74" spans="2:10" ht="12.75">
      <c r="B74" s="52" t="s">
        <v>251</v>
      </c>
      <c r="C74" s="52"/>
      <c r="D74" s="52"/>
      <c r="E74" s="52"/>
      <c r="F74" s="52"/>
      <c r="G74" s="52"/>
      <c r="H74" s="52"/>
      <c r="I74" s="52"/>
      <c r="J74" s="24"/>
    </row>
    <row r="77" spans="7:11" ht="12">
      <c r="G77" s="29"/>
      <c r="H77" s="29"/>
      <c r="I77" s="29"/>
      <c r="J77" s="29"/>
      <c r="K77" s="29"/>
    </row>
    <row r="79" spans="2:13" ht="42" customHeight="1" thickBot="1">
      <c r="B79" s="95" t="s">
        <v>247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2:15" ht="20.25" thickBot="1">
      <c r="B80" s="96" t="s">
        <v>210</v>
      </c>
      <c r="C80" s="97"/>
      <c r="D80" s="97"/>
      <c r="E80" s="98"/>
      <c r="F80" s="98"/>
      <c r="G80" s="99"/>
      <c r="H80" s="99"/>
      <c r="I80" s="99"/>
      <c r="J80" s="99"/>
      <c r="K80" s="99"/>
      <c r="L80" s="99"/>
      <c r="M80" s="100"/>
      <c r="N80" s="94"/>
      <c r="O80" s="54"/>
    </row>
    <row r="81" spans="2:15" ht="41.25" thickBot="1">
      <c r="B81" s="101" t="s">
        <v>0</v>
      </c>
      <c r="C81" s="2" t="s">
        <v>1</v>
      </c>
      <c r="D81" s="2" t="s">
        <v>2</v>
      </c>
      <c r="E81" s="3" t="s">
        <v>3</v>
      </c>
      <c r="F81" s="3" t="s">
        <v>4</v>
      </c>
      <c r="G81" s="3" t="s">
        <v>5</v>
      </c>
      <c r="H81" s="3" t="s">
        <v>6</v>
      </c>
      <c r="I81" s="3" t="s">
        <v>7</v>
      </c>
      <c r="J81" s="3" t="s">
        <v>8</v>
      </c>
      <c r="K81" s="3" t="s">
        <v>9</v>
      </c>
      <c r="L81" s="3" t="s">
        <v>10</v>
      </c>
      <c r="M81" s="102" t="s">
        <v>11</v>
      </c>
      <c r="N81" s="94"/>
      <c r="O81" s="54"/>
    </row>
    <row r="82" spans="2:15" ht="15">
      <c r="B82" s="103" t="s">
        <v>211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104"/>
      <c r="N82" s="92"/>
      <c r="O82" s="30"/>
    </row>
    <row r="83" spans="2:13" ht="19.5" customHeight="1">
      <c r="B83" s="105" t="s">
        <v>237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106"/>
    </row>
    <row r="84" spans="2:13" ht="12">
      <c r="B84" s="107"/>
      <c r="C84" s="6" t="s">
        <v>238</v>
      </c>
      <c r="D84" s="6" t="s">
        <v>239</v>
      </c>
      <c r="E84" s="7">
        <v>0</v>
      </c>
      <c r="F84" s="7">
        <v>0</v>
      </c>
      <c r="G84" s="8">
        <v>0</v>
      </c>
      <c r="H84" s="8">
        <f>37930.052535*E84*F84</f>
        <v>0</v>
      </c>
      <c r="I84" s="8">
        <f>0*E84*F84</f>
        <v>0</v>
      </c>
      <c r="J84" s="8">
        <v>0</v>
      </c>
      <c r="K84" s="8">
        <f>0*E84*F84</f>
        <v>0</v>
      </c>
      <c r="L84" s="8">
        <f>719.10465*E84*F84</f>
        <v>0</v>
      </c>
      <c r="M84" s="108">
        <f>SUM(G84:L84)</f>
        <v>0</v>
      </c>
    </row>
    <row r="85" spans="2:13" ht="15.75">
      <c r="B85" s="109" t="s">
        <v>240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110"/>
    </row>
    <row r="86" spans="2:13" ht="36">
      <c r="B86" s="111"/>
      <c r="C86" s="44" t="s">
        <v>252</v>
      </c>
      <c r="D86" s="45" t="s">
        <v>246</v>
      </c>
      <c r="E86" s="28">
        <v>0.47</v>
      </c>
      <c r="F86" s="27">
        <v>1</v>
      </c>
      <c r="G86" s="26">
        <f>954.8396*E86*F86-170+4193.7</f>
        <v>4472.474612</v>
      </c>
      <c r="H86" s="26">
        <f>1329.7566011664*E86*F86+15%+698.63+600</f>
        <v>1923.7656025482079</v>
      </c>
      <c r="I86" s="26">
        <f>0*E86*F86</f>
        <v>0</v>
      </c>
      <c r="J86" s="26">
        <f>718.0393792*E86*F86-130+972.86+1300</f>
        <v>2480.338508224</v>
      </c>
      <c r="K86" s="26">
        <f>0*E86*F86</f>
        <v>0</v>
      </c>
      <c r="L86" s="26">
        <f>525.16178*E86*F86-130+711.53</f>
        <v>828.3560365999999</v>
      </c>
      <c r="M86" s="112">
        <f>SUM(G86:L86)</f>
        <v>9704.934759372209</v>
      </c>
    </row>
    <row r="87" spans="2:15" ht="36">
      <c r="B87" s="113"/>
      <c r="C87" s="36" t="s">
        <v>245</v>
      </c>
      <c r="D87" s="36" t="s">
        <v>246</v>
      </c>
      <c r="E87" s="37">
        <v>0.121</v>
      </c>
      <c r="F87" s="37">
        <v>1</v>
      </c>
      <c r="G87" s="38">
        <v>0</v>
      </c>
      <c r="H87" s="38">
        <v>0</v>
      </c>
      <c r="I87" s="38">
        <v>0</v>
      </c>
      <c r="J87" s="38">
        <v>0</v>
      </c>
      <c r="K87" s="38">
        <f>0*E87*F87</f>
        <v>0</v>
      </c>
      <c r="L87" s="38">
        <v>0</v>
      </c>
      <c r="M87" s="114">
        <v>0</v>
      </c>
      <c r="O87" s="40"/>
    </row>
    <row r="88" spans="2:13" ht="53.25" customHeight="1">
      <c r="B88" s="107"/>
      <c r="C88" s="6" t="s">
        <v>227</v>
      </c>
      <c r="D88" s="6" t="s">
        <v>12</v>
      </c>
      <c r="E88" s="28">
        <v>0.62</v>
      </c>
      <c r="F88" s="27">
        <v>1</v>
      </c>
      <c r="G88" s="26">
        <v>0</v>
      </c>
      <c r="H88" s="26">
        <v>0</v>
      </c>
      <c r="I88" s="26">
        <f>0*E88*F88</f>
        <v>0</v>
      </c>
      <c r="J88" s="26">
        <v>0</v>
      </c>
      <c r="K88" s="26">
        <f>0*E88*F88</f>
        <v>0</v>
      </c>
      <c r="L88" s="26">
        <v>0</v>
      </c>
      <c r="M88" s="112">
        <v>0</v>
      </c>
    </row>
    <row r="89" spans="2:17" ht="27.75" customHeight="1">
      <c r="B89" s="107"/>
      <c r="C89" s="43" t="s">
        <v>253</v>
      </c>
      <c r="D89" s="6" t="s">
        <v>12</v>
      </c>
      <c r="E89" s="7">
        <v>0.622</v>
      </c>
      <c r="F89" s="7">
        <v>1</v>
      </c>
      <c r="G89" s="8">
        <v>0</v>
      </c>
      <c r="H89" s="8">
        <v>0</v>
      </c>
      <c r="I89" s="8">
        <f>0*E89*F89</f>
        <v>0</v>
      </c>
      <c r="J89" s="8">
        <v>0</v>
      </c>
      <c r="K89" s="8">
        <f>0*E89*F89</f>
        <v>0</v>
      </c>
      <c r="L89" s="8">
        <v>0</v>
      </c>
      <c r="M89" s="108">
        <v>0</v>
      </c>
      <c r="N89" s="29"/>
      <c r="O89" s="30"/>
      <c r="Q89" s="29"/>
    </row>
    <row r="90" spans="2:15" ht="27" customHeight="1">
      <c r="B90" s="107"/>
      <c r="C90" s="6" t="s">
        <v>228</v>
      </c>
      <c r="D90" s="6" t="s">
        <v>13</v>
      </c>
      <c r="E90" s="7">
        <v>0.622</v>
      </c>
      <c r="F90" s="7">
        <v>1</v>
      </c>
      <c r="G90" s="8">
        <v>0</v>
      </c>
      <c r="H90" s="8">
        <v>0</v>
      </c>
      <c r="I90" s="8">
        <f>0*E90*F90</f>
        <v>0</v>
      </c>
      <c r="J90" s="8">
        <v>0</v>
      </c>
      <c r="K90" s="8">
        <f>0*E90*F90</f>
        <v>0</v>
      </c>
      <c r="L90" s="8">
        <v>0</v>
      </c>
      <c r="M90" s="108">
        <v>0</v>
      </c>
      <c r="O90" s="30"/>
    </row>
    <row r="91" spans="2:13" ht="15.75">
      <c r="B91" s="115" t="s">
        <v>241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116"/>
    </row>
    <row r="92" spans="2:13" ht="12">
      <c r="B92" s="107"/>
      <c r="C92" s="6" t="s">
        <v>14</v>
      </c>
      <c r="D92" s="6" t="s">
        <v>15</v>
      </c>
      <c r="E92" s="31">
        <f>4</f>
        <v>4</v>
      </c>
      <c r="F92" s="7">
        <v>0</v>
      </c>
      <c r="G92" s="8">
        <v>0</v>
      </c>
      <c r="H92" s="8">
        <v>0</v>
      </c>
      <c r="I92" s="8">
        <f>0*E92*F92</f>
        <v>0</v>
      </c>
      <c r="J92" s="8">
        <f>115.5270528*E92*F92</f>
        <v>0</v>
      </c>
      <c r="K92" s="8">
        <f>0*E92*F92</f>
        <v>0</v>
      </c>
      <c r="L92" s="8">
        <f>69.13188*E92*F92</f>
        <v>0</v>
      </c>
      <c r="M92" s="108">
        <f>SUM(G92:L92)</f>
        <v>0</v>
      </c>
    </row>
    <row r="93" spans="2:13" ht="15.75">
      <c r="B93" s="115" t="s">
        <v>242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116"/>
    </row>
    <row r="94" spans="2:13" ht="24">
      <c r="B94" s="107"/>
      <c r="C94" s="43" t="s">
        <v>16</v>
      </c>
      <c r="D94" s="6" t="s">
        <v>17</v>
      </c>
      <c r="E94" s="7">
        <v>0</v>
      </c>
      <c r="F94" s="7">
        <v>0</v>
      </c>
      <c r="G94" s="8">
        <f>7560.7098*E94*F94</f>
        <v>0</v>
      </c>
      <c r="H94" s="8">
        <f>36899.69876592*E94*F94</f>
        <v>0</v>
      </c>
      <c r="I94" s="8">
        <f>0*E94*F94</f>
        <v>0</v>
      </c>
      <c r="J94" s="8">
        <f>5685.6537696*E94*F94</f>
        <v>0</v>
      </c>
      <c r="K94" s="8">
        <f>0*E94*F94</f>
        <v>0</v>
      </c>
      <c r="L94" s="8">
        <f>4158.39039*E94*F94</f>
        <v>0</v>
      </c>
      <c r="M94" s="108">
        <f>SUM(G94:L94)</f>
        <v>0</v>
      </c>
    </row>
    <row r="95" spans="2:13" ht="15.75">
      <c r="B95" s="109" t="s">
        <v>243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110"/>
    </row>
    <row r="96" spans="2:13" ht="54.75" customHeight="1">
      <c r="B96" s="117"/>
      <c r="C96" s="45" t="s">
        <v>260</v>
      </c>
      <c r="D96" s="42" t="s">
        <v>38</v>
      </c>
      <c r="E96" s="28">
        <v>1.3</v>
      </c>
      <c r="F96" s="27">
        <v>2</v>
      </c>
      <c r="G96" s="8">
        <f>63.06768*E96*F96+500+12380+619.84</f>
        <v>13663.815968</v>
      </c>
      <c r="H96" s="8">
        <f>630.43+4193</f>
        <v>4823.43</v>
      </c>
      <c r="I96" s="8">
        <f>0*E96*F96</f>
        <v>0</v>
      </c>
      <c r="J96" s="8">
        <f>47.42689536*E96*F96+500+1100</f>
        <v>1723.309927936</v>
      </c>
      <c r="K96" s="8">
        <f>0*E96*F96</f>
        <v>0</v>
      </c>
      <c r="L96" s="8">
        <f>34.687224*E96*F96+300+200</f>
        <v>590.1867824</v>
      </c>
      <c r="M96" s="108">
        <f>SUM(G96:L96)</f>
        <v>20800.742678336002</v>
      </c>
    </row>
    <row r="97" spans="2:13" ht="12">
      <c r="B97" s="113"/>
      <c r="C97" s="36" t="s">
        <v>229</v>
      </c>
      <c r="D97" s="36" t="s">
        <v>18</v>
      </c>
      <c r="E97" s="37">
        <v>0.192</v>
      </c>
      <c r="F97" s="37">
        <v>1</v>
      </c>
      <c r="G97" s="38">
        <v>0</v>
      </c>
      <c r="H97" s="38">
        <v>0</v>
      </c>
      <c r="I97" s="38">
        <f>0*E97*F97</f>
        <v>0</v>
      </c>
      <c r="J97" s="38">
        <v>0</v>
      </c>
      <c r="K97" s="38">
        <f>0*E97*F97</f>
        <v>0</v>
      </c>
      <c r="L97" s="38">
        <v>0</v>
      </c>
      <c r="M97" s="114">
        <f>SUM(G97:L97)</f>
        <v>0</v>
      </c>
    </row>
    <row r="98" spans="2:13" ht="15.75">
      <c r="B98" s="115" t="s">
        <v>244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118"/>
    </row>
    <row r="99" spans="2:13" ht="36">
      <c r="B99" s="107"/>
      <c r="C99" s="6" t="s">
        <v>19</v>
      </c>
      <c r="D99" s="6" t="s">
        <v>20</v>
      </c>
      <c r="E99" s="7">
        <v>0.094</v>
      </c>
      <c r="F99" s="7">
        <v>1</v>
      </c>
      <c r="G99" s="8">
        <v>0</v>
      </c>
      <c r="H99" s="8">
        <v>0</v>
      </c>
      <c r="I99" s="8">
        <f>0*E99*F99</f>
        <v>0</v>
      </c>
      <c r="J99" s="8">
        <v>0</v>
      </c>
      <c r="K99" s="8">
        <f>0*E99*F99</f>
        <v>0</v>
      </c>
      <c r="L99" s="8">
        <v>0</v>
      </c>
      <c r="M99" s="108">
        <f>SUM(G99:L99)</f>
        <v>0</v>
      </c>
    </row>
    <row r="100" spans="2:13" ht="24">
      <c r="B100" s="107"/>
      <c r="C100" s="6" t="s">
        <v>21</v>
      </c>
      <c r="D100" s="6" t="s">
        <v>12</v>
      </c>
      <c r="E100" s="7">
        <v>0.4</v>
      </c>
      <c r="F100" s="7">
        <v>1</v>
      </c>
      <c r="G100" s="8">
        <v>0</v>
      </c>
      <c r="H100" s="8">
        <v>0</v>
      </c>
      <c r="I100" s="8">
        <f>0*E100*F100</f>
        <v>0</v>
      </c>
      <c r="J100" s="8">
        <v>0</v>
      </c>
      <c r="K100" s="8">
        <f>0*E100*F100</f>
        <v>0</v>
      </c>
      <c r="L100" s="8">
        <v>0</v>
      </c>
      <c r="M100" s="108">
        <v>0</v>
      </c>
    </row>
    <row r="101" spans="2:14" ht="24">
      <c r="B101" s="107"/>
      <c r="C101" s="6" t="s">
        <v>22</v>
      </c>
      <c r="D101" s="6" t="s">
        <v>23</v>
      </c>
      <c r="E101" s="31">
        <f>0.27</f>
        <v>0.27</v>
      </c>
      <c r="F101" s="7">
        <v>1</v>
      </c>
      <c r="G101" s="8">
        <v>0</v>
      </c>
      <c r="H101" s="8">
        <v>0</v>
      </c>
      <c r="I101" s="8">
        <f>0*E101*F101</f>
        <v>0</v>
      </c>
      <c r="J101" s="8">
        <v>0</v>
      </c>
      <c r="K101" s="8">
        <f>0*E101*F101</f>
        <v>0</v>
      </c>
      <c r="L101" s="8">
        <v>0</v>
      </c>
      <c r="M101" s="108">
        <f>SUM(G101:L101)</f>
        <v>0</v>
      </c>
      <c r="N101" s="29"/>
    </row>
    <row r="102" spans="2:15" ht="15">
      <c r="B102" s="119" t="s">
        <v>216</v>
      </c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104"/>
      <c r="N102" s="92"/>
      <c r="O102" s="93"/>
    </row>
    <row r="103" spans="2:15" ht="15.75">
      <c r="B103" s="115" t="s">
        <v>217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116"/>
      <c r="N103" s="29"/>
      <c r="O103" s="30"/>
    </row>
    <row r="104" spans="2:15" ht="12">
      <c r="B104" s="107"/>
      <c r="C104" s="6" t="s">
        <v>230</v>
      </c>
      <c r="D104" s="6" t="s">
        <v>24</v>
      </c>
      <c r="E104" s="7">
        <v>1</v>
      </c>
      <c r="F104" s="7">
        <v>2</v>
      </c>
      <c r="G104" s="8">
        <f>1235.7492*E104*F104</f>
        <v>2471.4984</v>
      </c>
      <c r="H104" s="8">
        <f>4796.27748103*E104*F104-4500</f>
        <v>5092.5549620599995</v>
      </c>
      <c r="I104" s="8">
        <f>0*E104*F104</f>
        <v>0</v>
      </c>
      <c r="J104" s="8">
        <f>929.2833984*E104*F104</f>
        <v>1858.5667968</v>
      </c>
      <c r="K104" s="8">
        <f>0*E104*F104</f>
        <v>0</v>
      </c>
      <c r="L104" s="8">
        <f>556.08714*E104*F104</f>
        <v>1112.17428</v>
      </c>
      <c r="M104" s="108">
        <f>SUM(G104:L104)</f>
        <v>10534.794438859999</v>
      </c>
      <c r="N104" s="29"/>
      <c r="O104" s="30"/>
    </row>
    <row r="105" spans="2:15" ht="36">
      <c r="B105" s="107"/>
      <c r="C105" s="6" t="s">
        <v>25</v>
      </c>
      <c r="D105" s="6" t="s">
        <v>26</v>
      </c>
      <c r="E105" s="7">
        <v>0.2</v>
      </c>
      <c r="F105" s="7">
        <v>1</v>
      </c>
      <c r="G105" s="8">
        <f>9474.9468*E105*F105-600+200+100</f>
        <v>1594.98936</v>
      </c>
      <c r="H105" s="8">
        <f>1321.0766031*E105*F105+600+100</f>
        <v>964.21532062</v>
      </c>
      <c r="I105" s="8">
        <f>0*E105*F105</f>
        <v>0</v>
      </c>
      <c r="J105" s="8">
        <f>7125.1599936*E105*F105-300</f>
        <v>1125.03199872</v>
      </c>
      <c r="K105" s="8">
        <f>0*E105*F105</f>
        <v>0</v>
      </c>
      <c r="L105" s="8">
        <f>5211.22074*E105*F105-606.31</f>
        <v>435.93414800000005</v>
      </c>
      <c r="M105" s="108">
        <f>SUM(G105:L105)</f>
        <v>4120.17082734</v>
      </c>
      <c r="O105" s="30"/>
    </row>
    <row r="106" spans="2:15" ht="15.75">
      <c r="B106" s="115" t="s">
        <v>218</v>
      </c>
      <c r="C106" s="63"/>
      <c r="D106" s="63"/>
      <c r="E106" s="63"/>
      <c r="F106" s="63"/>
      <c r="G106" s="61"/>
      <c r="H106" s="61"/>
      <c r="I106" s="61"/>
      <c r="J106" s="61"/>
      <c r="K106" s="61"/>
      <c r="L106" s="61"/>
      <c r="M106" s="118"/>
      <c r="N106" s="29"/>
      <c r="O106" s="30"/>
    </row>
    <row r="107" spans="2:15" ht="24">
      <c r="B107" s="107"/>
      <c r="C107" s="6" t="s">
        <v>27</v>
      </c>
      <c r="D107" s="6" t="s">
        <v>28</v>
      </c>
      <c r="E107" s="7">
        <v>0.08</v>
      </c>
      <c r="F107" s="7">
        <v>1</v>
      </c>
      <c r="G107" s="8">
        <f>25915.74904*E107*F107</f>
        <v>2073.2599232</v>
      </c>
      <c r="H107" s="8">
        <f>71208.708855*E107*F107+500</f>
        <v>6196.696708400001</v>
      </c>
      <c r="I107" s="8">
        <f>0*E107*F107</f>
        <v>0</v>
      </c>
      <c r="J107" s="8">
        <f>19488.64327808*E107*F107</f>
        <v>1559.0914622464</v>
      </c>
      <c r="K107" s="8">
        <f>0*E107*F107</f>
        <v>0</v>
      </c>
      <c r="L107" s="8">
        <f>11662.087068*E107*F107</f>
        <v>932.9669654400001</v>
      </c>
      <c r="M107" s="108">
        <f>SUM(G107:L107)</f>
        <v>10762.015059286401</v>
      </c>
      <c r="N107" s="29"/>
      <c r="O107" s="30"/>
    </row>
    <row r="108" spans="2:15" ht="15.75">
      <c r="B108" s="120" t="s">
        <v>219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118"/>
      <c r="N108" s="29"/>
      <c r="O108" s="30"/>
    </row>
    <row r="109" spans="2:15" ht="36">
      <c r="B109" s="107"/>
      <c r="C109" s="6" t="s">
        <v>29</v>
      </c>
      <c r="D109" s="6" t="s">
        <v>28</v>
      </c>
      <c r="E109" s="7">
        <v>0.08</v>
      </c>
      <c r="F109" s="7">
        <v>1</v>
      </c>
      <c r="G109" s="8">
        <f>40467.29664*E109*F109</f>
        <v>3237.3837312</v>
      </c>
      <c r="H109" s="8">
        <f>123715.1507943*E109*F109+500</f>
        <v>10397.212063544</v>
      </c>
      <c r="I109" s="8">
        <f>0*E109*F109</f>
        <v>0</v>
      </c>
      <c r="J109" s="8">
        <f>30431.40707328*E109*F109</f>
        <v>2434.5125658624</v>
      </c>
      <c r="K109" s="8">
        <f>0*E109*F109</f>
        <v>0</v>
      </c>
      <c r="L109" s="8">
        <f>18210.283488*E109*F109</f>
        <v>1456.8226790400001</v>
      </c>
      <c r="M109" s="108">
        <f>SUM(G109:L109)</f>
        <v>17525.9310396464</v>
      </c>
      <c r="N109" s="29"/>
      <c r="O109" s="30"/>
    </row>
    <row r="110" spans="2:15" ht="24">
      <c r="B110" s="107"/>
      <c r="C110" s="6" t="s">
        <v>30</v>
      </c>
      <c r="D110" s="6" t="s">
        <v>31</v>
      </c>
      <c r="E110" s="7">
        <v>0.1</v>
      </c>
      <c r="F110" s="7">
        <v>4</v>
      </c>
      <c r="G110" s="8">
        <f>1783.054*E110*F110</f>
        <v>713.2216000000001</v>
      </c>
      <c r="H110" s="8">
        <f>541.6781595*E110*F110</f>
        <v>216.67126380000002</v>
      </c>
      <c r="I110" s="8">
        <f>0*E110*F110</f>
        <v>0</v>
      </c>
      <c r="J110" s="8">
        <f>1340.856608*E110*F110</f>
        <v>536.3426432</v>
      </c>
      <c r="K110" s="8">
        <f>0*E110*F110</f>
        <v>0</v>
      </c>
      <c r="L110" s="8">
        <f>980.6797*E110*F110</f>
        <v>392.27188</v>
      </c>
      <c r="M110" s="108">
        <f>SUM(G110:L110)</f>
        <v>1858.507387</v>
      </c>
      <c r="O110" s="30"/>
    </row>
    <row r="111" spans="2:15" ht="15.75">
      <c r="B111" s="115" t="s">
        <v>220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116"/>
      <c r="N111" s="29"/>
      <c r="O111" s="30"/>
    </row>
    <row r="112" spans="2:15" ht="16.5" customHeight="1">
      <c r="B112" s="107"/>
      <c r="C112" s="6" t="s">
        <v>221</v>
      </c>
      <c r="D112" s="6" t="s">
        <v>40</v>
      </c>
      <c r="E112" s="7">
        <v>0</v>
      </c>
      <c r="F112" s="7">
        <v>0</v>
      </c>
      <c r="G112" s="8">
        <v>0</v>
      </c>
      <c r="H112" s="8">
        <f>0*E112*F112</f>
        <v>0</v>
      </c>
      <c r="I112" s="8">
        <f>0*E112*F112</f>
        <v>0</v>
      </c>
      <c r="J112" s="8">
        <f>0*F112*G112</f>
        <v>0</v>
      </c>
      <c r="K112" s="8">
        <f>0*E112*F112</f>
        <v>0</v>
      </c>
      <c r="L112" s="8">
        <v>0</v>
      </c>
      <c r="M112" s="108">
        <f>SUM(G112:L112)</f>
        <v>0</v>
      </c>
      <c r="O112" s="30"/>
    </row>
    <row r="113" spans="2:15" ht="15.75">
      <c r="B113" s="115" t="s">
        <v>222</v>
      </c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116"/>
      <c r="N113" s="29"/>
      <c r="O113" s="30"/>
    </row>
    <row r="114" spans="2:15" ht="36">
      <c r="B114" s="107"/>
      <c r="C114" s="6" t="s">
        <v>223</v>
      </c>
      <c r="D114" s="6" t="s">
        <v>38</v>
      </c>
      <c r="E114" s="7">
        <v>1.268</v>
      </c>
      <c r="F114" s="7">
        <v>12</v>
      </c>
      <c r="G114" s="8">
        <v>18000</v>
      </c>
      <c r="H114" s="8">
        <v>1344.4</v>
      </c>
      <c r="I114" s="8">
        <f>0*E114*F114</f>
        <v>0</v>
      </c>
      <c r="J114" s="8">
        <v>0</v>
      </c>
      <c r="K114" s="8">
        <f>0*E114*F114</f>
        <v>0</v>
      </c>
      <c r="L114" s="8">
        <f>5399.79-4000</f>
        <v>1399.79</v>
      </c>
      <c r="M114" s="108">
        <f>SUM(G114:L114)</f>
        <v>20744.190000000002</v>
      </c>
      <c r="O114" s="30"/>
    </row>
    <row r="115" spans="2:15" ht="15.75">
      <c r="B115" s="115" t="s">
        <v>224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116"/>
      <c r="N115" s="29"/>
      <c r="O115" s="30"/>
    </row>
    <row r="116" spans="2:15" ht="24">
      <c r="B116" s="107"/>
      <c r="C116" s="6" t="s">
        <v>32</v>
      </c>
      <c r="D116" s="6" t="s">
        <v>33</v>
      </c>
      <c r="E116" s="7">
        <v>1.268</v>
      </c>
      <c r="F116" s="7">
        <v>1</v>
      </c>
      <c r="G116" s="8">
        <f>63.06768*E116*F116</f>
        <v>79.96981824000001</v>
      </c>
      <c r="H116" s="8">
        <f>0*E116*F116</f>
        <v>0</v>
      </c>
      <c r="I116" s="8">
        <f>0*E116*F116</f>
        <v>0</v>
      </c>
      <c r="J116" s="8">
        <f>47.42689536*E116*F116</f>
        <v>60.13730331648001</v>
      </c>
      <c r="K116" s="8">
        <f aca="true" t="shared" si="6" ref="K116:K122">0*E116*F116</f>
        <v>0</v>
      </c>
      <c r="L116" s="8">
        <f>28.380456*E116*F116</f>
        <v>35.986418207999996</v>
      </c>
      <c r="M116" s="108">
        <f aca="true" t="shared" si="7" ref="M116:M122">SUM(G116:L116)</f>
        <v>176.09353976448003</v>
      </c>
      <c r="N116" s="29"/>
      <c r="O116" s="30"/>
    </row>
    <row r="117" spans="2:15" ht="48">
      <c r="B117" s="107"/>
      <c r="C117" s="25" t="s">
        <v>231</v>
      </c>
      <c r="D117" s="6" t="s">
        <v>34</v>
      </c>
      <c r="E117" s="7">
        <v>0.6</v>
      </c>
      <c r="F117" s="7">
        <v>2</v>
      </c>
      <c r="G117" s="8">
        <v>1515.91</v>
      </c>
      <c r="H117" s="8">
        <f>0*E117*F117+654.7</f>
        <v>654.7</v>
      </c>
      <c r="I117" s="8">
        <v>1800</v>
      </c>
      <c r="J117" s="8">
        <v>1237.96</v>
      </c>
      <c r="K117" s="8">
        <f t="shared" si="6"/>
        <v>0</v>
      </c>
      <c r="L117" s="8">
        <v>283.75</v>
      </c>
      <c r="M117" s="108">
        <f t="shared" si="7"/>
        <v>5492.32</v>
      </c>
      <c r="O117" s="30"/>
    </row>
    <row r="118" spans="2:13" ht="54" customHeight="1">
      <c r="B118" s="107"/>
      <c r="C118" s="25" t="s">
        <v>232</v>
      </c>
      <c r="D118" s="6" t="s">
        <v>35</v>
      </c>
      <c r="E118" s="7">
        <v>0.27</v>
      </c>
      <c r="F118" s="7">
        <v>2</v>
      </c>
      <c r="G118" s="8">
        <f>10592.136*E118*F118+800</f>
        <v>6519.75344</v>
      </c>
      <c r="H118" s="8">
        <v>2225</v>
      </c>
      <c r="I118" s="8">
        <f>0*E118*F118</f>
        <v>0</v>
      </c>
      <c r="J118" s="8">
        <f>7965.286272*E118*F118+600</f>
        <v>4901.254586880001</v>
      </c>
      <c r="K118" s="8">
        <f t="shared" si="6"/>
        <v>0</v>
      </c>
      <c r="L118" s="8">
        <f>5825.6748*E118*F118-1200</f>
        <v>1945.864392</v>
      </c>
      <c r="M118" s="108">
        <f t="shared" si="7"/>
        <v>15591.87241888</v>
      </c>
    </row>
    <row r="119" spans="2:15" ht="12">
      <c r="B119" s="107"/>
      <c r="C119" s="6" t="s">
        <v>36</v>
      </c>
      <c r="D119" s="6" t="s">
        <v>37</v>
      </c>
      <c r="E119" s="7">
        <v>50.74</v>
      </c>
      <c r="F119" s="7">
        <v>2</v>
      </c>
      <c r="G119" s="8">
        <f>153.585972*E119*F119-7000</f>
        <v>8585.904438560001</v>
      </c>
      <c r="H119" s="8">
        <v>0</v>
      </c>
      <c r="I119" s="8">
        <f>0*E119*F119</f>
        <v>0</v>
      </c>
      <c r="J119" s="8">
        <f>115.496650944*E119*F119-9600</f>
        <v>2120.6001377971206</v>
      </c>
      <c r="K119" s="8">
        <f t="shared" si="6"/>
        <v>0</v>
      </c>
      <c r="L119" s="8">
        <f>84.4722846*E119*F119-3600</f>
        <v>4972.247441207999</v>
      </c>
      <c r="M119" s="108">
        <f t="shared" si="7"/>
        <v>15678.75201756512</v>
      </c>
      <c r="O119" s="30"/>
    </row>
    <row r="120" spans="2:13" ht="24">
      <c r="B120" s="107"/>
      <c r="C120" s="6" t="s">
        <v>39</v>
      </c>
      <c r="D120" s="6" t="s">
        <v>38</v>
      </c>
      <c r="E120" s="7">
        <v>1.268</v>
      </c>
      <c r="F120" s="7">
        <v>2</v>
      </c>
      <c r="G120" s="8">
        <f>679.1904*E120*F120-500</f>
        <v>1222.4268544</v>
      </c>
      <c r="H120" s="8">
        <f>0*E120*F120</f>
        <v>0</v>
      </c>
      <c r="I120" s="8">
        <f>0*E120*F120</f>
        <v>0</v>
      </c>
      <c r="J120" s="8">
        <f>510.7511808*E120*F120</f>
        <v>1295.2649945087999</v>
      </c>
      <c r="K120" s="8">
        <f t="shared" si="6"/>
        <v>0</v>
      </c>
      <c r="L120" s="8">
        <f>373.55472*E120*F120</f>
        <v>947.33476992</v>
      </c>
      <c r="M120" s="108">
        <f t="shared" si="7"/>
        <v>3465.0266188287997</v>
      </c>
    </row>
    <row r="121" spans="2:13" ht="48">
      <c r="B121" s="107"/>
      <c r="C121" s="25" t="s">
        <v>233</v>
      </c>
      <c r="D121" s="6" t="s">
        <v>40</v>
      </c>
      <c r="E121" s="7">
        <v>1</v>
      </c>
      <c r="F121" s="7">
        <v>2</v>
      </c>
      <c r="G121" s="8">
        <f>646.848*E121*F121+2700</f>
        <v>3993.696</v>
      </c>
      <c r="H121" s="8">
        <v>2314.49</v>
      </c>
      <c r="I121" s="8">
        <f>0*E121*F121</f>
        <v>0</v>
      </c>
      <c r="J121" s="8">
        <f>486.429696*E121*F121+1320</f>
        <v>2292.859392</v>
      </c>
      <c r="K121" s="8">
        <f t="shared" si="6"/>
        <v>0</v>
      </c>
      <c r="L121" s="8">
        <f>355.7664*E121*F121</f>
        <v>711.5328</v>
      </c>
      <c r="M121" s="108">
        <f t="shared" si="7"/>
        <v>9312.578192</v>
      </c>
    </row>
    <row r="122" spans="2:15" ht="24">
      <c r="B122" s="107"/>
      <c r="C122" s="6" t="s">
        <v>41</v>
      </c>
      <c r="D122" s="6" t="s">
        <v>42</v>
      </c>
      <c r="E122" s="7">
        <v>51.31</v>
      </c>
      <c r="F122" s="7">
        <v>1</v>
      </c>
      <c r="G122" s="8">
        <f>153.587886*E122*F122-2000</f>
        <v>5880.59443066</v>
      </c>
      <c r="H122" s="8">
        <f>9.605*E122*F122</f>
        <v>492.83255</v>
      </c>
      <c r="I122" s="8">
        <f>0*E122*F122</f>
        <v>0</v>
      </c>
      <c r="J122" s="8">
        <f>115.498090272*E122*F122-1000</f>
        <v>4926.207011856321</v>
      </c>
      <c r="K122" s="8">
        <f t="shared" si="6"/>
        <v>0</v>
      </c>
      <c r="L122" s="8">
        <f>84.4733373*E122*F122-1000</f>
        <v>3334.326936863</v>
      </c>
      <c r="M122" s="108">
        <f t="shared" si="7"/>
        <v>14633.960929379322</v>
      </c>
      <c r="O122" s="30"/>
    </row>
    <row r="123" spans="2:13" ht="60.75" customHeight="1">
      <c r="B123" s="107"/>
      <c r="C123" s="6" t="s">
        <v>248</v>
      </c>
      <c r="D123" s="6" t="s">
        <v>43</v>
      </c>
      <c r="E123" s="7">
        <v>2</v>
      </c>
      <c r="F123" s="7">
        <v>12</v>
      </c>
      <c r="G123" s="8">
        <v>945.18</v>
      </c>
      <c r="H123" s="8">
        <v>0</v>
      </c>
      <c r="I123" s="8">
        <v>0</v>
      </c>
      <c r="J123" s="8">
        <v>710.78</v>
      </c>
      <c r="K123" s="8">
        <v>0</v>
      </c>
      <c r="L123" s="8">
        <v>425</v>
      </c>
      <c r="M123" s="108">
        <v>2081.29</v>
      </c>
    </row>
    <row r="124" spans="2:15" ht="15">
      <c r="B124" s="119" t="s">
        <v>225</v>
      </c>
      <c r="C124" s="67"/>
      <c r="D124" s="67"/>
      <c r="E124" s="67"/>
      <c r="F124" s="67"/>
      <c r="G124" s="68"/>
      <c r="H124" s="68"/>
      <c r="I124" s="68"/>
      <c r="J124" s="68"/>
      <c r="K124" s="68"/>
      <c r="L124" s="68"/>
      <c r="M124" s="121"/>
      <c r="N124" s="29"/>
      <c r="O124" s="30"/>
    </row>
    <row r="125" spans="2:13" ht="60">
      <c r="B125" s="107"/>
      <c r="C125" s="25" t="s">
        <v>234</v>
      </c>
      <c r="D125" s="6" t="s">
        <v>40</v>
      </c>
      <c r="E125" s="7">
        <v>1</v>
      </c>
      <c r="F125" s="28">
        <v>365</v>
      </c>
      <c r="G125" s="26">
        <v>5642.88</v>
      </c>
      <c r="H125" s="26">
        <f>0*E125*F125</f>
        <v>0</v>
      </c>
      <c r="I125" s="26">
        <f>0*E125*F125</f>
        <v>0</v>
      </c>
      <c r="J125" s="26">
        <f>G125*45%</f>
        <v>2539.2960000000003</v>
      </c>
      <c r="K125" s="26">
        <f>0*E125*F125</f>
        <v>0</v>
      </c>
      <c r="L125" s="26">
        <f>G125*20%</f>
        <v>1128.576</v>
      </c>
      <c r="M125" s="112">
        <f>SUM(G125:L125)</f>
        <v>9310.752</v>
      </c>
    </row>
    <row r="126" spans="2:15" ht="15">
      <c r="B126" s="119" t="s">
        <v>226</v>
      </c>
      <c r="C126" s="67"/>
      <c r="D126" s="67"/>
      <c r="E126" s="67"/>
      <c r="F126" s="67"/>
      <c r="G126" s="70"/>
      <c r="H126" s="70"/>
      <c r="I126" s="70"/>
      <c r="J126" s="70"/>
      <c r="K126" s="70"/>
      <c r="L126" s="70"/>
      <c r="M126" s="122"/>
      <c r="N126" s="29"/>
      <c r="O126" s="30"/>
    </row>
    <row r="127" spans="2:13" ht="12">
      <c r="B127" s="107"/>
      <c r="C127" s="43" t="s">
        <v>254</v>
      </c>
      <c r="D127" s="43" t="s">
        <v>255</v>
      </c>
      <c r="E127" s="7">
        <v>4.734</v>
      </c>
      <c r="F127" s="7">
        <v>2</v>
      </c>
      <c r="G127" s="8">
        <f>56.307219510372*E127*F127</f>
        <v>533.1167543242021</v>
      </c>
      <c r="H127" s="8">
        <f>0.183571172892*E127*F127+1.12+340</f>
        <v>342.85805186494144</v>
      </c>
      <c r="I127" s="8">
        <f>0*E127*F127</f>
        <v>0</v>
      </c>
      <c r="J127" s="8">
        <f>42.3430290718*E127*F127</f>
        <v>400.90379925180235</v>
      </c>
      <c r="K127" s="8">
        <f>0*E127*F127</f>
        <v>0</v>
      </c>
      <c r="L127" s="8">
        <f>25.338248779667*E127*F127</f>
        <v>239.90253944588716</v>
      </c>
      <c r="M127" s="108">
        <f>SUM(G127:L127)</f>
        <v>1516.781144886833</v>
      </c>
    </row>
    <row r="128" spans="2:13" ht="12">
      <c r="B128" s="107"/>
      <c r="C128" s="43" t="s">
        <v>257</v>
      </c>
      <c r="D128" s="43" t="s">
        <v>258</v>
      </c>
      <c r="E128" s="7">
        <v>0.05</v>
      </c>
      <c r="F128" s="7">
        <v>1</v>
      </c>
      <c r="G128" s="8">
        <v>1859.52</v>
      </c>
      <c r="H128" s="8">
        <v>408.56</v>
      </c>
      <c r="I128" s="8">
        <v>3000</v>
      </c>
      <c r="J128" s="8">
        <v>1115.17</v>
      </c>
      <c r="K128" s="8">
        <v>0</v>
      </c>
      <c r="L128" s="8">
        <v>136.98</v>
      </c>
      <c r="M128" s="108">
        <f>SUM(G128:L128)</f>
        <v>6520.23</v>
      </c>
    </row>
    <row r="129" spans="2:13" ht="24">
      <c r="B129" s="107"/>
      <c r="C129" s="6" t="s">
        <v>44</v>
      </c>
      <c r="D129" s="6" t="s">
        <v>45</v>
      </c>
      <c r="E129" s="7">
        <v>0.267</v>
      </c>
      <c r="F129" s="7">
        <v>78</v>
      </c>
      <c r="G129" s="8">
        <f>246.6108*E129*F129</f>
        <v>5135.9165208</v>
      </c>
      <c r="H129" s="8">
        <f>4.525965*E129*F129</f>
        <v>94.25774709000001</v>
      </c>
      <c r="I129" s="8">
        <v>0</v>
      </c>
      <c r="J129" s="8">
        <f>185.4513216*E129*F129-500</f>
        <v>3362.2092236416006</v>
      </c>
      <c r="K129" s="8">
        <f aca="true" t="shared" si="8" ref="K129:K136">0*E129*F129</f>
        <v>0</v>
      </c>
      <c r="L129" s="8">
        <f>135.63594*E129*F129-500</f>
        <v>2324.7540864400003</v>
      </c>
      <c r="M129" s="108">
        <f aca="true" t="shared" si="9" ref="M129:M136">SUM(G129:L129)</f>
        <v>10917.1375779716</v>
      </c>
    </row>
    <row r="130" spans="2:13" ht="12">
      <c r="B130" s="107"/>
      <c r="C130" s="6" t="s">
        <v>46</v>
      </c>
      <c r="D130" s="6" t="s">
        <v>47</v>
      </c>
      <c r="E130" s="7">
        <v>0.03</v>
      </c>
      <c r="F130" s="7">
        <v>52</v>
      </c>
      <c r="G130" s="8">
        <f>1071.342*E130*F130</f>
        <v>1671.2935200000002</v>
      </c>
      <c r="H130" s="8">
        <f>5.5728*E130*F130+15</f>
        <v>23.693568</v>
      </c>
      <c r="I130" s="8">
        <f aca="true" t="shared" si="10" ref="I130:I136">0*E130*F130</f>
        <v>0</v>
      </c>
      <c r="J130" s="8">
        <f>805.649184*E130*F130-100</f>
        <v>1156.81272704</v>
      </c>
      <c r="K130" s="8">
        <f t="shared" si="8"/>
        <v>0</v>
      </c>
      <c r="L130" s="8">
        <f>589.2381*E130*F130</f>
        <v>919.211436</v>
      </c>
      <c r="M130" s="108">
        <f t="shared" si="9"/>
        <v>3771.01125104</v>
      </c>
    </row>
    <row r="131" spans="2:13" ht="36">
      <c r="B131" s="107"/>
      <c r="C131" s="6" t="s">
        <v>48</v>
      </c>
      <c r="D131" s="6" t="s">
        <v>49</v>
      </c>
      <c r="E131" s="7">
        <v>0.027</v>
      </c>
      <c r="F131" s="7">
        <v>52</v>
      </c>
      <c r="G131" s="8">
        <f>3817.7508*E131*F131</f>
        <v>5360.1221232</v>
      </c>
      <c r="H131" s="8">
        <f>72.813921*E131*F131</f>
        <v>102.23074508399999</v>
      </c>
      <c r="I131" s="8">
        <f t="shared" si="10"/>
        <v>0</v>
      </c>
      <c r="J131" s="8">
        <f>2870.9486016*E131*F131-500</f>
        <v>3530.8118366463996</v>
      </c>
      <c r="K131" s="8">
        <f t="shared" si="8"/>
        <v>0</v>
      </c>
      <c r="L131" s="8">
        <f>2099.76294*E131*F131</f>
        <v>2948.0671677600003</v>
      </c>
      <c r="M131" s="108">
        <f t="shared" si="9"/>
        <v>11941.2318726904</v>
      </c>
    </row>
    <row r="132" spans="2:13" ht="36">
      <c r="B132" s="107"/>
      <c r="C132" s="6" t="s">
        <v>50</v>
      </c>
      <c r="D132" s="6" t="s">
        <v>49</v>
      </c>
      <c r="E132" s="7">
        <v>0.027</v>
      </c>
      <c r="F132" s="7">
        <v>6</v>
      </c>
      <c r="G132" s="8">
        <f>16619.9508*E132*F132</f>
        <v>2692.4320295999996</v>
      </c>
      <c r="H132" s="8">
        <f>258.31476*E132*F132</f>
        <v>41.84699112</v>
      </c>
      <c r="I132" s="8">
        <f t="shared" si="10"/>
        <v>0</v>
      </c>
      <c r="J132" s="8">
        <f>12498.2030016*E132*F132-200</f>
        <v>1824.7088862592002</v>
      </c>
      <c r="K132" s="8">
        <f t="shared" si="8"/>
        <v>0</v>
      </c>
      <c r="L132" s="8">
        <f>9140.97294*E132*F132-37.03</f>
        <v>1443.8076162799998</v>
      </c>
      <c r="M132" s="108">
        <f t="shared" si="9"/>
        <v>6002.795523259199</v>
      </c>
    </row>
    <row r="133" spans="2:13" ht="24">
      <c r="B133" s="107"/>
      <c r="C133" s="6" t="s">
        <v>51</v>
      </c>
      <c r="D133" s="6" t="s">
        <v>13</v>
      </c>
      <c r="E133" s="7">
        <v>0.135</v>
      </c>
      <c r="F133" s="7">
        <v>52</v>
      </c>
      <c r="G133" s="8">
        <f>185.9688*E133*F133</f>
        <v>1305.500976</v>
      </c>
      <c r="H133" s="8">
        <f>0.72664797*E133*F133</f>
        <v>5.1010687494</v>
      </c>
      <c r="I133" s="8">
        <f t="shared" si="10"/>
        <v>0</v>
      </c>
      <c r="J133" s="8">
        <f>139.8485376*E133*F133</f>
        <v>981.7367339519999</v>
      </c>
      <c r="K133" s="8">
        <f t="shared" si="8"/>
        <v>0</v>
      </c>
      <c r="L133" s="8">
        <f>102.28284*E133*F133</f>
        <v>718.0255368</v>
      </c>
      <c r="M133" s="108">
        <f t="shared" si="9"/>
        <v>3010.3643155013997</v>
      </c>
    </row>
    <row r="134" spans="2:13" ht="24">
      <c r="B134" s="107"/>
      <c r="C134" s="6" t="s">
        <v>52</v>
      </c>
      <c r="D134" s="6" t="s">
        <v>13</v>
      </c>
      <c r="E134" s="7">
        <v>0.135</v>
      </c>
      <c r="F134" s="7">
        <v>52</v>
      </c>
      <c r="G134" s="8">
        <f>34.3638*E134*F134</f>
        <v>241.233876</v>
      </c>
      <c r="H134" s="8">
        <f>0.3472164*E134*F134</f>
        <v>2.437459128</v>
      </c>
      <c r="I134" s="8">
        <f t="shared" si="10"/>
        <v>0</v>
      </c>
      <c r="J134" s="8">
        <f>25.8415776*E134*F134</f>
        <v>181.407874752</v>
      </c>
      <c r="K134" s="8">
        <f t="shared" si="8"/>
        <v>0</v>
      </c>
      <c r="L134" s="8">
        <f>18.90009*E134*F134</f>
        <v>132.6786318</v>
      </c>
      <c r="M134" s="108">
        <f t="shared" si="9"/>
        <v>557.75784168</v>
      </c>
    </row>
    <row r="135" spans="2:13" ht="12">
      <c r="B135" s="107"/>
      <c r="C135" s="6" t="s">
        <v>53</v>
      </c>
      <c r="D135" s="6" t="s">
        <v>13</v>
      </c>
      <c r="E135" s="7">
        <v>0.046</v>
      </c>
      <c r="F135" s="7">
        <v>26</v>
      </c>
      <c r="G135" s="8">
        <f>808.56*E135*F135</f>
        <v>967.0377599999999</v>
      </c>
      <c r="H135" s="8">
        <f>2.58546702*E135*F135</f>
        <v>3.0922185559199997</v>
      </c>
      <c r="I135" s="8">
        <f t="shared" si="10"/>
        <v>0</v>
      </c>
      <c r="J135" s="8">
        <f>608.03712*E135*F135</f>
        <v>727.2123955199999</v>
      </c>
      <c r="K135" s="8">
        <f t="shared" si="8"/>
        <v>0</v>
      </c>
      <c r="L135" s="8">
        <f>444.708*E135*F135</f>
        <v>531.870768</v>
      </c>
      <c r="M135" s="108">
        <f t="shared" si="9"/>
        <v>2229.2131420759197</v>
      </c>
    </row>
    <row r="136" spans="2:13" ht="12">
      <c r="B136" s="107"/>
      <c r="C136" s="6" t="s">
        <v>54</v>
      </c>
      <c r="D136" s="6" t="s">
        <v>55</v>
      </c>
      <c r="E136" s="7">
        <v>0.046</v>
      </c>
      <c r="F136" s="7">
        <v>52</v>
      </c>
      <c r="G136" s="8">
        <f>327.4668*E136*F136</f>
        <v>783.3005856</v>
      </c>
      <c r="H136" s="8">
        <f>1.48608*E136*F136</f>
        <v>3.5547033600000004</v>
      </c>
      <c r="I136" s="8">
        <f t="shared" si="10"/>
        <v>0</v>
      </c>
      <c r="J136" s="8">
        <f>246.2550336*E136*F136</f>
        <v>589.0420403712</v>
      </c>
      <c r="K136" s="8">
        <f t="shared" si="8"/>
        <v>0</v>
      </c>
      <c r="L136" s="8">
        <f>180.10674*E136*F136</f>
        <v>430.81532208</v>
      </c>
      <c r="M136" s="108">
        <f t="shared" si="9"/>
        <v>1806.7126514111999</v>
      </c>
    </row>
    <row r="137" spans="2:15" ht="36">
      <c r="B137" s="107"/>
      <c r="C137" s="123" t="s">
        <v>235</v>
      </c>
      <c r="D137" s="34" t="s">
        <v>236</v>
      </c>
      <c r="E137" s="35">
        <v>1.264</v>
      </c>
      <c r="F137" s="49">
        <v>52</v>
      </c>
      <c r="G137" s="33">
        <f>1268*2.42*12</f>
        <v>36822.72</v>
      </c>
      <c r="H137" s="33">
        <v>0</v>
      </c>
      <c r="I137" s="33">
        <v>0</v>
      </c>
      <c r="J137" s="33">
        <v>0</v>
      </c>
      <c r="K137" s="33">
        <v>0</v>
      </c>
      <c r="L137" s="33">
        <f>G137*2%</f>
        <v>736.4544000000001</v>
      </c>
      <c r="M137" s="124">
        <f>SUM(G137:L137)</f>
        <v>37559.1744</v>
      </c>
      <c r="N137" s="29"/>
      <c r="O137" s="30"/>
    </row>
    <row r="138" spans="2:15" ht="24.75" thickBot="1">
      <c r="B138" s="125"/>
      <c r="C138" s="45" t="s">
        <v>256</v>
      </c>
      <c r="D138" s="42" t="s">
        <v>45</v>
      </c>
      <c r="E138" s="27"/>
      <c r="F138" s="37">
        <v>1</v>
      </c>
      <c r="G138" s="8">
        <v>673.26</v>
      </c>
      <c r="H138" s="8">
        <v>1596.7</v>
      </c>
      <c r="I138" s="8">
        <f>0*E138*F138</f>
        <v>0</v>
      </c>
      <c r="J138" s="8">
        <v>453.6</v>
      </c>
      <c r="K138" s="8">
        <f>0*E138*F138</f>
        <v>0</v>
      </c>
      <c r="L138" s="8">
        <v>323.4</v>
      </c>
      <c r="M138" s="114">
        <f>SUM(G138:L138)</f>
        <v>3046.96</v>
      </c>
      <c r="O138" s="30"/>
    </row>
    <row r="139" spans="2:15" ht="12.75" thickBot="1">
      <c r="B139" s="126" t="s">
        <v>56</v>
      </c>
      <c r="C139" s="127"/>
      <c r="D139" s="127"/>
      <c r="E139" s="127"/>
      <c r="F139" s="127"/>
      <c r="G139" s="128">
        <f aca="true" t="shared" si="11" ref="G139:M139">SUM(G84:G138)</f>
        <v>138658.4127217842</v>
      </c>
      <c r="H139" s="128">
        <f t="shared" si="11"/>
        <v>39270.30102392446</v>
      </c>
      <c r="I139" s="128">
        <f t="shared" si="11"/>
        <v>4800</v>
      </c>
      <c r="J139" s="128">
        <f t="shared" si="11"/>
        <v>46125.168846781715</v>
      </c>
      <c r="K139" s="128">
        <f t="shared" si="11"/>
        <v>0</v>
      </c>
      <c r="L139" s="128">
        <f t="shared" si="11"/>
        <v>31819.08903428489</v>
      </c>
      <c r="M139" s="129">
        <f t="shared" si="11"/>
        <v>260673.30162677527</v>
      </c>
      <c r="O139" s="30"/>
    </row>
    <row r="140" spans="4:11" ht="19.5">
      <c r="D140" s="59" t="s">
        <v>57</v>
      </c>
      <c r="E140" s="59"/>
      <c r="F140" s="59"/>
      <c r="G140" s="59"/>
      <c r="H140" s="59"/>
      <c r="I140" s="59"/>
      <c r="J140" s="59"/>
      <c r="K140" s="59"/>
    </row>
    <row r="141" spans="4:11" ht="15">
      <c r="D141" s="14" t="s">
        <v>58</v>
      </c>
      <c r="E141" s="55">
        <f>G139</f>
        <v>138658.4127217842</v>
      </c>
      <c r="F141" s="55"/>
      <c r="G141" s="13"/>
      <c r="H141" s="13"/>
      <c r="I141" s="14" t="s">
        <v>59</v>
      </c>
      <c r="J141" s="55">
        <f>J139</f>
        <v>46125.168846781715</v>
      </c>
      <c r="K141" s="55"/>
    </row>
    <row r="142" spans="4:11" ht="15">
      <c r="D142" s="14" t="s">
        <v>60</v>
      </c>
      <c r="E142" s="55">
        <f>H139</f>
        <v>39270.30102392446</v>
      </c>
      <c r="F142" s="55"/>
      <c r="G142" s="13"/>
      <c r="H142" s="13"/>
      <c r="I142" s="14" t="s">
        <v>61</v>
      </c>
      <c r="J142" s="55">
        <f>K139</f>
        <v>0</v>
      </c>
      <c r="K142" s="55"/>
    </row>
    <row r="143" spans="4:11" ht="15">
      <c r="D143" s="14" t="s">
        <v>62</v>
      </c>
      <c r="E143" s="55">
        <f>I139</f>
        <v>4800</v>
      </c>
      <c r="F143" s="55"/>
      <c r="G143" s="13"/>
      <c r="H143" s="13"/>
      <c r="I143" s="14" t="s">
        <v>63</v>
      </c>
      <c r="J143" s="55">
        <f>L139</f>
        <v>31819.08903428489</v>
      </c>
      <c r="K143" s="55"/>
    </row>
    <row r="144" spans="4:11" ht="15">
      <c r="D144" s="14"/>
      <c r="E144" s="13"/>
      <c r="F144" s="13"/>
      <c r="G144" s="13"/>
      <c r="H144" s="13"/>
      <c r="I144" s="14" t="s">
        <v>64</v>
      </c>
      <c r="J144" s="55">
        <f>M139</f>
        <v>260673.30162677527</v>
      </c>
      <c r="K144" s="55"/>
    </row>
    <row r="145" spans="8:11" ht="15">
      <c r="H145" s="56" t="s">
        <v>212</v>
      </c>
      <c r="I145" s="56"/>
      <c r="J145" s="56"/>
      <c r="K145" s="22">
        <v>1268</v>
      </c>
    </row>
    <row r="146" spans="8:11" ht="15">
      <c r="H146" s="56" t="s">
        <v>213</v>
      </c>
      <c r="I146" s="56"/>
      <c r="J146" s="56"/>
      <c r="K146" s="22">
        <f>J144/K145/12</f>
        <v>17.131526132148743</v>
      </c>
    </row>
    <row r="148" spans="2:6" ht="12.75">
      <c r="B148" s="23" t="s">
        <v>214</v>
      </c>
      <c r="C148" s="23"/>
      <c r="D148" s="23"/>
      <c r="E148" s="23"/>
      <c r="F148" s="23" t="s">
        <v>215</v>
      </c>
    </row>
    <row r="149" spans="2:6" ht="12.75">
      <c r="B149" s="23"/>
      <c r="C149" s="23"/>
      <c r="D149" s="23"/>
      <c r="E149" s="23"/>
      <c r="F149" s="23"/>
    </row>
    <row r="150" spans="2:13" ht="12.75">
      <c r="B150" s="51" t="s">
        <v>259</v>
      </c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</row>
    <row r="151" spans="2:10" ht="28.5" customHeight="1">
      <c r="B151" s="51" t="s">
        <v>250</v>
      </c>
      <c r="C151" s="51"/>
      <c r="D151" s="51"/>
      <c r="E151" s="51"/>
      <c r="F151" s="51"/>
      <c r="G151" s="51"/>
      <c r="H151" s="51"/>
      <c r="I151" s="51"/>
      <c r="J151" s="51"/>
    </row>
    <row r="152" spans="2:10" ht="12.75">
      <c r="B152" s="52" t="s">
        <v>251</v>
      </c>
      <c r="C152" s="52"/>
      <c r="D152" s="52"/>
      <c r="E152" s="52"/>
      <c r="F152" s="52"/>
      <c r="G152" s="52"/>
      <c r="H152" s="52"/>
      <c r="I152" s="52"/>
      <c r="J152" s="24"/>
    </row>
  </sheetData>
  <sheetProtection formatCells="0" formatColumns="0" formatRows="0" insertColumns="0" insertRows="0" insertHyperlinks="0" deleteColumns="0" deleteRows="0" sort="0" autoFilter="0" pivotTables="0"/>
  <mergeCells count="68">
    <mergeCell ref="H146:J146"/>
    <mergeCell ref="B150:M150"/>
    <mergeCell ref="B151:J151"/>
    <mergeCell ref="B152:I152"/>
    <mergeCell ref="E142:F142"/>
    <mergeCell ref="J142:K142"/>
    <mergeCell ref="E143:F143"/>
    <mergeCell ref="J143:K143"/>
    <mergeCell ref="J144:K144"/>
    <mergeCell ref="H145:J145"/>
    <mergeCell ref="B124:M124"/>
    <mergeCell ref="B126:M126"/>
    <mergeCell ref="B139:F139"/>
    <mergeCell ref="D140:K140"/>
    <mergeCell ref="E141:F141"/>
    <mergeCell ref="J141:K141"/>
    <mergeCell ref="B103:M103"/>
    <mergeCell ref="B106:M106"/>
    <mergeCell ref="B108:M108"/>
    <mergeCell ref="B111:M111"/>
    <mergeCell ref="B113:M113"/>
    <mergeCell ref="B115:M115"/>
    <mergeCell ref="B85:M85"/>
    <mergeCell ref="B91:M91"/>
    <mergeCell ref="B93:M93"/>
    <mergeCell ref="B95:M95"/>
    <mergeCell ref="B98:M98"/>
    <mergeCell ref="B102:M102"/>
    <mergeCell ref="B79:M79"/>
    <mergeCell ref="B80:M80"/>
    <mergeCell ref="N80:N81"/>
    <mergeCell ref="O80:O81"/>
    <mergeCell ref="B82:M82"/>
    <mergeCell ref="B83:M83"/>
    <mergeCell ref="B5:M5"/>
    <mergeCell ref="B7:M7"/>
    <mergeCell ref="B1:M1"/>
    <mergeCell ref="B2:M2"/>
    <mergeCell ref="B4:M4"/>
    <mergeCell ref="B13:M13"/>
    <mergeCell ref="B15:M15"/>
    <mergeCell ref="B17:M17"/>
    <mergeCell ref="B20:M20"/>
    <mergeCell ref="B24:M24"/>
    <mergeCell ref="B25:M25"/>
    <mergeCell ref="B28:M28"/>
    <mergeCell ref="B30:M30"/>
    <mergeCell ref="B33:M33"/>
    <mergeCell ref="B35:M35"/>
    <mergeCell ref="B37:M37"/>
    <mergeCell ref="B46:M46"/>
    <mergeCell ref="B48:M48"/>
    <mergeCell ref="B61:F61"/>
    <mergeCell ref="D62:K62"/>
    <mergeCell ref="E63:F63"/>
    <mergeCell ref="J63:K63"/>
    <mergeCell ref="E64:F64"/>
    <mergeCell ref="J64:K64"/>
    <mergeCell ref="B73:J73"/>
    <mergeCell ref="B74:I74"/>
    <mergeCell ref="N2:N3"/>
    <mergeCell ref="O2:O3"/>
    <mergeCell ref="E65:F65"/>
    <mergeCell ref="J65:K65"/>
    <mergeCell ref="J66:K66"/>
    <mergeCell ref="H67:J67"/>
    <mergeCell ref="H68:J68"/>
    <mergeCell ref="B72:M72"/>
  </mergeCells>
  <printOptions/>
  <pageMargins left="0.35" right="0.35" top="0.35" bottom="0.35" header="0.3" footer="0.3"/>
  <pageSetup fitToHeight="1" fitToWidth="1" horizontalDpi="600" verticalDpi="600" orientation="portrait" paperSize="9" scale="23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B1">
      <selection activeCell="B133" sqref="B133:G133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91" t="s">
        <v>65</v>
      </c>
      <c r="C1" s="91"/>
      <c r="D1" s="91"/>
      <c r="E1" s="91"/>
      <c r="F1" s="91"/>
      <c r="G1" s="91"/>
    </row>
    <row r="3" spans="1:7" ht="27">
      <c r="A3" s="1"/>
      <c r="B3" s="2" t="s">
        <v>0</v>
      </c>
      <c r="C3" s="2" t="s">
        <v>66</v>
      </c>
      <c r="D3" s="3" t="s">
        <v>67</v>
      </c>
      <c r="E3" s="3" t="s">
        <v>3</v>
      </c>
      <c r="F3" s="3" t="s">
        <v>68</v>
      </c>
      <c r="G3" s="4" t="s">
        <v>11</v>
      </c>
    </row>
    <row r="4" spans="2:7" ht="15">
      <c r="B4" s="90" t="s">
        <v>69</v>
      </c>
      <c r="C4" s="90"/>
      <c r="D4" s="90"/>
      <c r="E4" s="90"/>
      <c r="F4" s="90"/>
      <c r="G4" s="90"/>
    </row>
    <row r="5" spans="2:7" ht="12">
      <c r="B5" s="15">
        <v>1</v>
      </c>
      <c r="C5" s="16" t="s">
        <v>70</v>
      </c>
      <c r="D5" s="16" t="s">
        <v>71</v>
      </c>
      <c r="E5" s="17">
        <v>3.8</v>
      </c>
      <c r="F5" s="18">
        <v>161.712</v>
      </c>
      <c r="G5" s="21">
        <f aca="true" t="shared" si="0" ref="G5:G37">E5*F5</f>
        <v>614.5056</v>
      </c>
    </row>
    <row r="6" spans="2:7" ht="12">
      <c r="B6" s="5">
        <v>2</v>
      </c>
      <c r="C6" s="6" t="s">
        <v>72</v>
      </c>
      <c r="D6" s="6" t="s">
        <v>71</v>
      </c>
      <c r="E6" s="19">
        <v>168.76308</v>
      </c>
      <c r="F6" s="8">
        <v>134.76</v>
      </c>
      <c r="G6" s="9">
        <f t="shared" si="0"/>
        <v>22742.5126608</v>
      </c>
    </row>
    <row r="7" spans="2:7" ht="12">
      <c r="B7" s="5">
        <v>3</v>
      </c>
      <c r="C7" s="6" t="s">
        <v>73</v>
      </c>
      <c r="D7" s="6" t="s">
        <v>71</v>
      </c>
      <c r="E7" s="19">
        <v>3.76656</v>
      </c>
      <c r="F7" s="8">
        <v>161.712</v>
      </c>
      <c r="G7" s="9">
        <f t="shared" si="0"/>
        <v>609.09795072</v>
      </c>
    </row>
    <row r="8" spans="2:7" ht="12">
      <c r="B8" s="5">
        <v>4</v>
      </c>
      <c r="C8" s="6" t="s">
        <v>74</v>
      </c>
      <c r="D8" s="6" t="s">
        <v>71</v>
      </c>
      <c r="E8" s="19">
        <v>22.575</v>
      </c>
      <c r="F8" s="8">
        <v>146.8884</v>
      </c>
      <c r="G8" s="9">
        <f t="shared" si="0"/>
        <v>3316.0056299999997</v>
      </c>
    </row>
    <row r="9" spans="2:7" ht="12">
      <c r="B9" s="5">
        <v>5</v>
      </c>
      <c r="C9" s="6" t="s">
        <v>75</v>
      </c>
      <c r="D9" s="6" t="s">
        <v>71</v>
      </c>
      <c r="E9" s="19">
        <v>22.575</v>
      </c>
      <c r="F9" s="20">
        <v>0.01</v>
      </c>
      <c r="G9" s="9">
        <f t="shared" si="0"/>
        <v>0.22575</v>
      </c>
    </row>
    <row r="10" spans="2:7" ht="12">
      <c r="B10" s="5">
        <v>6</v>
      </c>
      <c r="C10" s="6" t="s">
        <v>76</v>
      </c>
      <c r="D10" s="6" t="s">
        <v>71</v>
      </c>
      <c r="E10" s="19">
        <v>0.47112</v>
      </c>
      <c r="F10" s="8">
        <v>161.712</v>
      </c>
      <c r="G10" s="9">
        <f t="shared" si="0"/>
        <v>76.18575743999999</v>
      </c>
    </row>
    <row r="11" spans="2:7" ht="12">
      <c r="B11" s="5">
        <v>7</v>
      </c>
      <c r="C11" s="6" t="s">
        <v>77</v>
      </c>
      <c r="D11" s="6" t="s">
        <v>71</v>
      </c>
      <c r="E11" s="19">
        <v>0.5872</v>
      </c>
      <c r="F11" s="20">
        <v>0.01</v>
      </c>
      <c r="G11" s="9">
        <f t="shared" si="0"/>
        <v>0.0058720000000000005</v>
      </c>
    </row>
    <row r="12" spans="2:7" ht="12">
      <c r="B12" s="5">
        <v>8</v>
      </c>
      <c r="C12" s="6" t="s">
        <v>78</v>
      </c>
      <c r="D12" s="6" t="s">
        <v>71</v>
      </c>
      <c r="E12" s="19">
        <v>5.2848</v>
      </c>
      <c r="F12" s="8">
        <v>190.0116</v>
      </c>
      <c r="G12" s="9">
        <f t="shared" si="0"/>
        <v>1004.1733036799999</v>
      </c>
    </row>
    <row r="13" spans="2:7" ht="24">
      <c r="B13" s="5">
        <v>9</v>
      </c>
      <c r="C13" s="6" t="s">
        <v>79</v>
      </c>
      <c r="D13" s="6" t="s">
        <v>71</v>
      </c>
      <c r="E13" s="19">
        <v>1.47</v>
      </c>
      <c r="F13" s="8">
        <v>146.8884</v>
      </c>
      <c r="G13" s="9">
        <f t="shared" si="0"/>
        <v>215.92594799999998</v>
      </c>
    </row>
    <row r="14" spans="2:7" ht="24">
      <c r="B14" s="5">
        <v>10</v>
      </c>
      <c r="C14" s="6" t="s">
        <v>80</v>
      </c>
      <c r="D14" s="6" t="s">
        <v>71</v>
      </c>
      <c r="E14" s="19">
        <v>1.47</v>
      </c>
      <c r="F14" s="8">
        <v>161.712</v>
      </c>
      <c r="G14" s="9">
        <f t="shared" si="0"/>
        <v>237.71663999999998</v>
      </c>
    </row>
    <row r="15" spans="2:7" ht="24">
      <c r="B15" s="5">
        <v>11</v>
      </c>
      <c r="C15" s="6" t="s">
        <v>81</v>
      </c>
      <c r="D15" s="6" t="s">
        <v>71</v>
      </c>
      <c r="E15" s="19">
        <v>3.1408</v>
      </c>
      <c r="F15" s="8">
        <v>176.5356</v>
      </c>
      <c r="G15" s="9">
        <f t="shared" si="0"/>
        <v>554.46301248</v>
      </c>
    </row>
    <row r="16" spans="2:7" ht="12">
      <c r="B16" s="5">
        <v>12</v>
      </c>
      <c r="C16" s="6" t="s">
        <v>82</v>
      </c>
      <c r="D16" s="6" t="s">
        <v>71</v>
      </c>
      <c r="E16" s="19">
        <v>27.479975</v>
      </c>
      <c r="F16" s="8">
        <v>146.8884</v>
      </c>
      <c r="G16" s="9">
        <f t="shared" si="0"/>
        <v>4036.4895597899995</v>
      </c>
    </row>
    <row r="17" spans="2:7" ht="12">
      <c r="B17" s="5">
        <v>13</v>
      </c>
      <c r="C17" s="6" t="s">
        <v>83</v>
      </c>
      <c r="D17" s="6" t="s">
        <v>71</v>
      </c>
      <c r="E17" s="19">
        <v>12.18</v>
      </c>
      <c r="F17" s="20">
        <v>0.01</v>
      </c>
      <c r="G17" s="9">
        <f t="shared" si="0"/>
        <v>0.1218</v>
      </c>
    </row>
    <row r="18" spans="2:7" ht="12">
      <c r="B18" s="5">
        <v>14</v>
      </c>
      <c r="C18" s="6" t="s">
        <v>84</v>
      </c>
      <c r="D18" s="6" t="s">
        <v>71</v>
      </c>
      <c r="E18" s="19">
        <v>15.505525</v>
      </c>
      <c r="F18" s="8">
        <v>176.5356</v>
      </c>
      <c r="G18" s="9">
        <f t="shared" si="0"/>
        <v>2737.27715919</v>
      </c>
    </row>
    <row r="19" spans="2:7" ht="12">
      <c r="B19" s="5">
        <v>15</v>
      </c>
      <c r="C19" s="6" t="s">
        <v>85</v>
      </c>
      <c r="D19" s="6" t="s">
        <v>71</v>
      </c>
      <c r="E19" s="19">
        <v>4.12</v>
      </c>
      <c r="F19" s="8">
        <v>161.712</v>
      </c>
      <c r="G19" s="9">
        <f t="shared" si="0"/>
        <v>666.25344</v>
      </c>
    </row>
    <row r="20" spans="2:7" ht="12">
      <c r="B20" s="5">
        <v>16</v>
      </c>
      <c r="C20" s="6" t="s">
        <v>86</v>
      </c>
      <c r="D20" s="6" t="s">
        <v>71</v>
      </c>
      <c r="E20" s="19">
        <v>1.58</v>
      </c>
      <c r="F20" s="8">
        <v>176.5356</v>
      </c>
      <c r="G20" s="9">
        <f t="shared" si="0"/>
        <v>278.926248</v>
      </c>
    </row>
    <row r="21" spans="2:7" ht="12">
      <c r="B21" s="5">
        <v>17</v>
      </c>
      <c r="C21" s="6" t="s">
        <v>87</v>
      </c>
      <c r="D21" s="6" t="s">
        <v>71</v>
      </c>
      <c r="E21" s="19">
        <v>18.09575</v>
      </c>
      <c r="F21" s="8">
        <v>161.712</v>
      </c>
      <c r="G21" s="9">
        <f t="shared" si="0"/>
        <v>2926.2999239999995</v>
      </c>
    </row>
    <row r="22" spans="2:7" ht="24">
      <c r="B22" s="5">
        <v>18</v>
      </c>
      <c r="C22" s="6" t="s">
        <v>88</v>
      </c>
      <c r="D22" s="6" t="s">
        <v>71</v>
      </c>
      <c r="E22" s="19">
        <v>3.62019997</v>
      </c>
      <c r="F22" s="8">
        <v>146.8884</v>
      </c>
      <c r="G22" s="9">
        <f t="shared" si="0"/>
        <v>531.7653812733479</v>
      </c>
    </row>
    <row r="23" spans="2:7" ht="24">
      <c r="B23" s="5">
        <v>19</v>
      </c>
      <c r="C23" s="6" t="s">
        <v>89</v>
      </c>
      <c r="D23" s="6" t="s">
        <v>71</v>
      </c>
      <c r="E23" s="19">
        <v>3.29</v>
      </c>
      <c r="F23" s="8">
        <v>161.712</v>
      </c>
      <c r="G23" s="9">
        <f t="shared" si="0"/>
        <v>532.03248</v>
      </c>
    </row>
    <row r="24" spans="2:7" ht="24">
      <c r="B24" s="5">
        <v>20</v>
      </c>
      <c r="C24" s="6" t="s">
        <v>90</v>
      </c>
      <c r="D24" s="6" t="s">
        <v>71</v>
      </c>
      <c r="E24" s="19">
        <v>0</v>
      </c>
      <c r="F24" s="8">
        <v>161.712</v>
      </c>
      <c r="G24" s="9">
        <f t="shared" si="0"/>
        <v>0</v>
      </c>
    </row>
    <row r="25" spans="2:7" ht="12">
      <c r="B25" s="5">
        <v>21</v>
      </c>
      <c r="C25" s="6" t="s">
        <v>91</v>
      </c>
      <c r="D25" s="6" t="s">
        <v>71</v>
      </c>
      <c r="E25" s="19">
        <v>14</v>
      </c>
      <c r="F25" s="8">
        <v>176.5356</v>
      </c>
      <c r="G25" s="9">
        <f t="shared" si="0"/>
        <v>2471.4984</v>
      </c>
    </row>
    <row r="26" spans="2:7" ht="24">
      <c r="B26" s="5">
        <v>22</v>
      </c>
      <c r="C26" s="6" t="s">
        <v>92</v>
      </c>
      <c r="D26" s="6" t="s">
        <v>71</v>
      </c>
      <c r="E26" s="19">
        <v>15.75</v>
      </c>
      <c r="F26" s="8">
        <v>146.8884</v>
      </c>
      <c r="G26" s="9">
        <f t="shared" si="0"/>
        <v>2313.4923</v>
      </c>
    </row>
    <row r="27" spans="2:7" ht="24">
      <c r="B27" s="5">
        <v>23</v>
      </c>
      <c r="C27" s="6" t="s">
        <v>93</v>
      </c>
      <c r="D27" s="6" t="s">
        <v>71</v>
      </c>
      <c r="E27" s="19">
        <v>3.49748</v>
      </c>
      <c r="F27" s="8">
        <v>176.5356</v>
      </c>
      <c r="G27" s="9">
        <f t="shared" si="0"/>
        <v>617.429730288</v>
      </c>
    </row>
    <row r="28" spans="2:7" ht="12">
      <c r="B28" s="5">
        <v>24</v>
      </c>
      <c r="C28" s="6" t="s">
        <v>94</v>
      </c>
      <c r="D28" s="6" t="s">
        <v>71</v>
      </c>
      <c r="E28" s="19">
        <v>32.9968</v>
      </c>
      <c r="F28" s="8">
        <v>161.712</v>
      </c>
      <c r="G28" s="9">
        <f t="shared" si="0"/>
        <v>5335.9785216</v>
      </c>
    </row>
    <row r="29" spans="2:7" ht="12">
      <c r="B29" s="5">
        <v>25</v>
      </c>
      <c r="C29" s="6" t="s">
        <v>95</v>
      </c>
      <c r="D29" s="6" t="s">
        <v>71</v>
      </c>
      <c r="E29" s="19">
        <v>11.1</v>
      </c>
      <c r="F29" s="8">
        <v>146.8884</v>
      </c>
      <c r="G29" s="9">
        <f t="shared" si="0"/>
        <v>1630.4612399999999</v>
      </c>
    </row>
    <row r="30" spans="2:7" ht="12">
      <c r="B30" s="5">
        <v>26</v>
      </c>
      <c r="C30" s="6" t="s">
        <v>96</v>
      </c>
      <c r="D30" s="6" t="s">
        <v>71</v>
      </c>
      <c r="E30" s="19">
        <v>109.8272</v>
      </c>
      <c r="F30" s="20">
        <v>176.54</v>
      </c>
      <c r="G30" s="9">
        <f t="shared" si="0"/>
        <v>19388.893888</v>
      </c>
    </row>
    <row r="31" spans="2:7" ht="12">
      <c r="B31" s="5">
        <v>27</v>
      </c>
      <c r="C31" s="6" t="s">
        <v>97</v>
      </c>
      <c r="D31" s="6" t="s">
        <v>71</v>
      </c>
      <c r="E31" s="19">
        <v>208.04456</v>
      </c>
      <c r="F31" s="8">
        <v>176.5356</v>
      </c>
      <c r="G31" s="9">
        <f t="shared" si="0"/>
        <v>36727.27122633599</v>
      </c>
    </row>
    <row r="32" spans="2:7" ht="12">
      <c r="B32" s="5">
        <v>28</v>
      </c>
      <c r="C32" s="6" t="s">
        <v>98</v>
      </c>
      <c r="D32" s="6" t="s">
        <v>71</v>
      </c>
      <c r="E32" s="19">
        <v>5.52</v>
      </c>
      <c r="F32" s="8">
        <v>190.0116</v>
      </c>
      <c r="G32" s="9">
        <f t="shared" si="0"/>
        <v>1048.864032</v>
      </c>
    </row>
    <row r="33" spans="2:7" ht="12">
      <c r="B33" s="5">
        <v>29</v>
      </c>
      <c r="C33" s="6" t="s">
        <v>99</v>
      </c>
      <c r="D33" s="6" t="s">
        <v>71</v>
      </c>
      <c r="E33" s="19">
        <v>0.92</v>
      </c>
      <c r="F33" s="8">
        <v>146.8884</v>
      </c>
      <c r="G33" s="9">
        <f t="shared" si="0"/>
        <v>135.137328</v>
      </c>
    </row>
    <row r="34" spans="2:7" ht="12">
      <c r="B34" s="5">
        <v>30</v>
      </c>
      <c r="C34" s="6" t="s">
        <v>100</v>
      </c>
      <c r="D34" s="6" t="s">
        <v>71</v>
      </c>
      <c r="E34" s="19">
        <v>0.92</v>
      </c>
      <c r="F34" s="8">
        <v>161.712</v>
      </c>
      <c r="G34" s="9">
        <f t="shared" si="0"/>
        <v>148.77504</v>
      </c>
    </row>
    <row r="35" spans="2:7" ht="24">
      <c r="B35" s="5">
        <v>31</v>
      </c>
      <c r="C35" s="6" t="s">
        <v>101</v>
      </c>
      <c r="D35" s="6" t="s">
        <v>102</v>
      </c>
      <c r="E35" s="19">
        <v>3.41748</v>
      </c>
      <c r="F35" s="8">
        <v>190.0116</v>
      </c>
      <c r="G35" s="9">
        <f t="shared" si="0"/>
        <v>649.3608427679999</v>
      </c>
    </row>
    <row r="36" spans="2:7" ht="24">
      <c r="B36" s="5">
        <v>32</v>
      </c>
      <c r="C36" s="6" t="s">
        <v>103</v>
      </c>
      <c r="D36" s="6" t="s">
        <v>71</v>
      </c>
      <c r="E36" s="19">
        <v>5.592</v>
      </c>
      <c r="F36" s="20">
        <v>161.71</v>
      </c>
      <c r="G36" s="9">
        <f t="shared" si="0"/>
        <v>904.28232</v>
      </c>
    </row>
    <row r="37" spans="2:7" ht="24">
      <c r="B37" s="5">
        <v>33</v>
      </c>
      <c r="C37" s="6" t="s">
        <v>104</v>
      </c>
      <c r="D37" s="6" t="s">
        <v>71</v>
      </c>
      <c r="E37" s="19">
        <v>3.41748</v>
      </c>
      <c r="F37" s="8">
        <v>176.5356</v>
      </c>
      <c r="G37" s="9">
        <f t="shared" si="0"/>
        <v>603.3068822879999</v>
      </c>
    </row>
    <row r="38" spans="2:7" ht="12">
      <c r="B38" s="87" t="s">
        <v>56</v>
      </c>
      <c r="C38" s="88"/>
      <c r="D38" s="88"/>
      <c r="E38" s="88"/>
      <c r="F38" s="89"/>
      <c r="G38" s="10">
        <f>SUM(G5:G37)</f>
        <v>113054.73586865333</v>
      </c>
    </row>
    <row r="39" spans="2:7" ht="15">
      <c r="B39" s="90" t="s">
        <v>105</v>
      </c>
      <c r="C39" s="90"/>
      <c r="D39" s="90"/>
      <c r="E39" s="90"/>
      <c r="F39" s="90"/>
      <c r="G39" s="90"/>
    </row>
    <row r="40" spans="2:7" ht="12">
      <c r="B40" s="15">
        <v>34</v>
      </c>
      <c r="C40" s="16" t="s">
        <v>106</v>
      </c>
      <c r="D40" s="16" t="s">
        <v>107</v>
      </c>
      <c r="E40" s="17">
        <v>0.0105</v>
      </c>
      <c r="F40" s="18">
        <v>437.4003</v>
      </c>
      <c r="G40" s="21">
        <f aca="true" t="shared" si="1" ref="G40:G71">E40*F40</f>
        <v>4.59270315</v>
      </c>
    </row>
    <row r="41" spans="2:7" ht="12">
      <c r="B41" s="5">
        <v>35</v>
      </c>
      <c r="C41" s="6" t="s">
        <v>108</v>
      </c>
      <c r="D41" s="6" t="s">
        <v>109</v>
      </c>
      <c r="E41" s="19">
        <v>0.0090576</v>
      </c>
      <c r="F41" s="8">
        <v>51532.2621</v>
      </c>
      <c r="G41" s="9">
        <f t="shared" si="1"/>
        <v>466.75861719696</v>
      </c>
    </row>
    <row r="42" spans="2:7" ht="24">
      <c r="B42" s="5">
        <v>36</v>
      </c>
      <c r="C42" s="6" t="s">
        <v>110</v>
      </c>
      <c r="D42" s="6" t="s">
        <v>109</v>
      </c>
      <c r="E42" s="19">
        <v>0.021</v>
      </c>
      <c r="F42" s="8">
        <v>69661.4319</v>
      </c>
      <c r="G42" s="9">
        <f t="shared" si="1"/>
        <v>1462.8900699</v>
      </c>
    </row>
    <row r="43" spans="2:7" ht="24">
      <c r="B43" s="5">
        <v>37</v>
      </c>
      <c r="C43" s="6" t="s">
        <v>111</v>
      </c>
      <c r="D43" s="6" t="s">
        <v>112</v>
      </c>
      <c r="E43" s="19">
        <v>2</v>
      </c>
      <c r="F43" s="8">
        <v>4341.4692000000005</v>
      </c>
      <c r="G43" s="9">
        <f t="shared" si="1"/>
        <v>8682.938400000001</v>
      </c>
    </row>
    <row r="44" spans="2:7" ht="12">
      <c r="B44" s="5">
        <v>38</v>
      </c>
      <c r="C44" s="6" t="s">
        <v>113</v>
      </c>
      <c r="D44" s="6" t="s">
        <v>109</v>
      </c>
      <c r="E44" s="19">
        <v>0.0002375</v>
      </c>
      <c r="F44" s="8">
        <v>110646.396</v>
      </c>
      <c r="G44" s="9">
        <f t="shared" si="1"/>
        <v>26.27851905</v>
      </c>
    </row>
    <row r="45" spans="2:7" ht="12">
      <c r="B45" s="5">
        <v>39</v>
      </c>
      <c r="C45" s="6" t="s">
        <v>114</v>
      </c>
      <c r="D45" s="6" t="s">
        <v>115</v>
      </c>
      <c r="E45" s="19">
        <v>0.5307</v>
      </c>
      <c r="F45" s="8">
        <v>22.4847</v>
      </c>
      <c r="G45" s="9">
        <f t="shared" si="1"/>
        <v>11.932630289999999</v>
      </c>
    </row>
    <row r="46" spans="2:7" ht="12">
      <c r="B46" s="5">
        <v>40</v>
      </c>
      <c r="C46" s="6" t="s">
        <v>116</v>
      </c>
      <c r="D46" s="6" t="s">
        <v>107</v>
      </c>
      <c r="E46" s="19">
        <v>35.24</v>
      </c>
      <c r="F46" s="20">
        <v>19.21</v>
      </c>
      <c r="G46" s="9">
        <f t="shared" si="1"/>
        <v>676.9604</v>
      </c>
    </row>
    <row r="47" spans="2:7" ht="12">
      <c r="B47" s="5">
        <v>41</v>
      </c>
      <c r="C47" s="6" t="s">
        <v>117</v>
      </c>
      <c r="D47" s="6" t="s">
        <v>109</v>
      </c>
      <c r="E47" s="19">
        <v>9E-05</v>
      </c>
      <c r="F47" s="8">
        <v>46738.970400000006</v>
      </c>
      <c r="G47" s="9">
        <f t="shared" si="1"/>
        <v>4.2065073360000005</v>
      </c>
    </row>
    <row r="48" spans="2:7" ht="12">
      <c r="B48" s="5">
        <v>42</v>
      </c>
      <c r="C48" s="6" t="s">
        <v>118</v>
      </c>
      <c r="D48" s="6" t="s">
        <v>115</v>
      </c>
      <c r="E48" s="19">
        <v>1.70864</v>
      </c>
      <c r="F48" s="8">
        <v>56.760000000000005</v>
      </c>
      <c r="G48" s="9">
        <f t="shared" si="1"/>
        <v>96.9824064</v>
      </c>
    </row>
    <row r="49" spans="2:7" ht="24">
      <c r="B49" s="5">
        <v>43</v>
      </c>
      <c r="C49" s="6" t="s">
        <v>119</v>
      </c>
      <c r="D49" s="6" t="s">
        <v>120</v>
      </c>
      <c r="E49" s="19">
        <v>0.012</v>
      </c>
      <c r="F49" s="8">
        <v>13302.905700000001</v>
      </c>
      <c r="G49" s="9">
        <f t="shared" si="1"/>
        <v>159.63486840000002</v>
      </c>
    </row>
    <row r="50" spans="2:7" ht="12">
      <c r="B50" s="5">
        <v>44</v>
      </c>
      <c r="C50" s="6" t="s">
        <v>121</v>
      </c>
      <c r="D50" s="6" t="s">
        <v>122</v>
      </c>
      <c r="E50" s="19">
        <v>0.38</v>
      </c>
      <c r="F50" s="8">
        <v>22.188</v>
      </c>
      <c r="G50" s="9">
        <f t="shared" si="1"/>
        <v>8.43144</v>
      </c>
    </row>
    <row r="51" spans="2:7" ht="12">
      <c r="B51" s="5">
        <v>45</v>
      </c>
      <c r="C51" s="6" t="s">
        <v>123</v>
      </c>
      <c r="D51" s="6" t="s">
        <v>109</v>
      </c>
      <c r="E51" s="19">
        <v>0.003528</v>
      </c>
      <c r="F51" s="8">
        <v>2714.6760000000004</v>
      </c>
      <c r="G51" s="9">
        <f t="shared" si="1"/>
        <v>9.577376928000001</v>
      </c>
    </row>
    <row r="52" spans="2:7" ht="12">
      <c r="B52" s="5">
        <v>46</v>
      </c>
      <c r="C52" s="6" t="s">
        <v>124</v>
      </c>
      <c r="D52" s="6" t="s">
        <v>115</v>
      </c>
      <c r="E52" s="19">
        <v>0.13</v>
      </c>
      <c r="F52" s="8">
        <v>13.3644</v>
      </c>
      <c r="G52" s="9">
        <f t="shared" si="1"/>
        <v>1.7373720000000001</v>
      </c>
    </row>
    <row r="53" spans="2:7" ht="12">
      <c r="B53" s="5">
        <v>47</v>
      </c>
      <c r="C53" s="6" t="s">
        <v>125</v>
      </c>
      <c r="D53" s="6" t="s">
        <v>115</v>
      </c>
      <c r="E53" s="19">
        <v>0.816</v>
      </c>
      <c r="F53" s="8">
        <v>257.40659999999997</v>
      </c>
      <c r="G53" s="9">
        <f t="shared" si="1"/>
        <v>210.04378559999995</v>
      </c>
    </row>
    <row r="54" spans="2:7" ht="12">
      <c r="B54" s="5">
        <v>48</v>
      </c>
      <c r="C54" s="6" t="s">
        <v>126</v>
      </c>
      <c r="D54" s="6" t="s">
        <v>109</v>
      </c>
      <c r="E54" s="19">
        <v>0.001</v>
      </c>
      <c r="F54" s="8">
        <v>57123.3285</v>
      </c>
      <c r="G54" s="9">
        <f t="shared" si="1"/>
        <v>57.12332850000001</v>
      </c>
    </row>
    <row r="55" spans="2:7" ht="12">
      <c r="B55" s="5">
        <v>49</v>
      </c>
      <c r="C55" s="6" t="s">
        <v>127</v>
      </c>
      <c r="D55" s="6" t="s">
        <v>107</v>
      </c>
      <c r="E55" s="19">
        <v>0.024</v>
      </c>
      <c r="F55" s="8">
        <v>64.1259</v>
      </c>
      <c r="G55" s="9">
        <f t="shared" si="1"/>
        <v>1.5390216</v>
      </c>
    </row>
    <row r="56" spans="2:7" ht="12">
      <c r="B56" s="5">
        <v>50</v>
      </c>
      <c r="C56" s="6" t="s">
        <v>128</v>
      </c>
      <c r="D56" s="6" t="s">
        <v>112</v>
      </c>
      <c r="E56" s="19">
        <v>0.5</v>
      </c>
      <c r="F56" s="8">
        <v>595.8639000000001</v>
      </c>
      <c r="G56" s="9">
        <f t="shared" si="1"/>
        <v>297.93195000000003</v>
      </c>
    </row>
    <row r="57" spans="2:7" ht="24">
      <c r="B57" s="5">
        <v>51</v>
      </c>
      <c r="C57" s="6" t="s">
        <v>129</v>
      </c>
      <c r="D57" s="6" t="s">
        <v>112</v>
      </c>
      <c r="E57" s="19">
        <v>1</v>
      </c>
      <c r="F57" s="8">
        <v>170.0091</v>
      </c>
      <c r="G57" s="9">
        <f t="shared" si="1"/>
        <v>170.0091</v>
      </c>
    </row>
    <row r="58" spans="2:7" ht="12">
      <c r="B58" s="5">
        <v>52</v>
      </c>
      <c r="C58" s="6" t="s">
        <v>130</v>
      </c>
      <c r="D58" s="6" t="s">
        <v>109</v>
      </c>
      <c r="E58" s="19">
        <v>8.7E-05</v>
      </c>
      <c r="F58" s="8">
        <v>43616.202900000004</v>
      </c>
      <c r="G58" s="9">
        <f t="shared" si="1"/>
        <v>3.7946096523000006</v>
      </c>
    </row>
    <row r="59" spans="2:7" ht="12">
      <c r="B59" s="5">
        <v>53</v>
      </c>
      <c r="C59" s="6" t="s">
        <v>131</v>
      </c>
      <c r="D59" s="6" t="s">
        <v>109</v>
      </c>
      <c r="E59" s="19">
        <v>0.002215</v>
      </c>
      <c r="F59" s="8">
        <v>69742.66320000001</v>
      </c>
      <c r="G59" s="9">
        <f t="shared" si="1"/>
        <v>154.479998988</v>
      </c>
    </row>
    <row r="60" spans="2:7" ht="12">
      <c r="B60" s="5">
        <v>54</v>
      </c>
      <c r="C60" s="6" t="s">
        <v>132</v>
      </c>
      <c r="D60" s="6" t="s">
        <v>109</v>
      </c>
      <c r="E60" s="19">
        <v>0.0004</v>
      </c>
      <c r="F60" s="20">
        <v>0.01</v>
      </c>
      <c r="G60" s="9">
        <f t="shared" si="1"/>
        <v>4.000000000000001E-06</v>
      </c>
    </row>
    <row r="61" spans="2:7" ht="24">
      <c r="B61" s="5">
        <v>55</v>
      </c>
      <c r="C61" s="6" t="s">
        <v>133</v>
      </c>
      <c r="D61" s="6" t="s">
        <v>109</v>
      </c>
      <c r="E61" s="19">
        <v>0.0003</v>
      </c>
      <c r="F61" s="8">
        <v>45350.9949</v>
      </c>
      <c r="G61" s="9">
        <f t="shared" si="1"/>
        <v>13.605298469999997</v>
      </c>
    </row>
    <row r="62" spans="2:7" ht="24">
      <c r="B62" s="5">
        <v>56</v>
      </c>
      <c r="C62" s="6" t="s">
        <v>134</v>
      </c>
      <c r="D62" s="6" t="s">
        <v>109</v>
      </c>
      <c r="E62" s="19">
        <v>0</v>
      </c>
      <c r="F62" s="8">
        <v>65606.2524</v>
      </c>
      <c r="G62" s="9">
        <f t="shared" si="1"/>
        <v>0</v>
      </c>
    </row>
    <row r="63" spans="2:7" ht="12">
      <c r="B63" s="5">
        <v>57</v>
      </c>
      <c r="C63" s="6" t="s">
        <v>135</v>
      </c>
      <c r="D63" s="6" t="s">
        <v>109</v>
      </c>
      <c r="E63" s="19">
        <v>0.0015708</v>
      </c>
      <c r="F63" s="8">
        <v>43306.7319</v>
      </c>
      <c r="G63" s="9">
        <f t="shared" si="1"/>
        <v>68.02621446852</v>
      </c>
    </row>
    <row r="64" spans="2:7" ht="12">
      <c r="B64" s="5">
        <v>58</v>
      </c>
      <c r="C64" s="6" t="s">
        <v>136</v>
      </c>
      <c r="D64" s="6" t="s">
        <v>115</v>
      </c>
      <c r="E64" s="19">
        <v>1.90875</v>
      </c>
      <c r="F64" s="8">
        <v>49.8843</v>
      </c>
      <c r="G64" s="9">
        <f t="shared" si="1"/>
        <v>95.21665762500001</v>
      </c>
    </row>
    <row r="65" spans="2:7" ht="12">
      <c r="B65" s="5">
        <v>59</v>
      </c>
      <c r="C65" s="6" t="s">
        <v>137</v>
      </c>
      <c r="D65" s="6" t="s">
        <v>109</v>
      </c>
      <c r="E65" s="19">
        <v>7.92E-05</v>
      </c>
      <c r="F65" s="8">
        <v>112377.6792</v>
      </c>
      <c r="G65" s="9">
        <f t="shared" si="1"/>
        <v>8.90031219264</v>
      </c>
    </row>
    <row r="66" spans="2:7" ht="12">
      <c r="B66" s="5">
        <v>60</v>
      </c>
      <c r="C66" s="6" t="s">
        <v>138</v>
      </c>
      <c r="D66" s="6" t="s">
        <v>122</v>
      </c>
      <c r="E66" s="19">
        <v>7.2</v>
      </c>
      <c r="F66" s="8">
        <v>201.0078</v>
      </c>
      <c r="G66" s="9">
        <f t="shared" si="1"/>
        <v>1447.2561600000001</v>
      </c>
    </row>
    <row r="67" spans="2:7" ht="36">
      <c r="B67" s="5">
        <v>61</v>
      </c>
      <c r="C67" s="6" t="s">
        <v>139</v>
      </c>
      <c r="D67" s="6" t="s">
        <v>109</v>
      </c>
      <c r="E67" s="19">
        <v>0.0119</v>
      </c>
      <c r="F67" s="8">
        <v>33865.3896</v>
      </c>
      <c r="G67" s="9">
        <f t="shared" si="1"/>
        <v>402.99813624000006</v>
      </c>
    </row>
    <row r="68" spans="2:7" ht="12">
      <c r="B68" s="5">
        <v>62</v>
      </c>
      <c r="C68" s="6" t="s">
        <v>140</v>
      </c>
      <c r="D68" s="6" t="s">
        <v>115</v>
      </c>
      <c r="E68" s="19">
        <v>0.04</v>
      </c>
      <c r="F68" s="8">
        <v>790.0088999999999</v>
      </c>
      <c r="G68" s="9">
        <f t="shared" si="1"/>
        <v>31.600355999999998</v>
      </c>
    </row>
    <row r="69" spans="2:7" ht="24">
      <c r="B69" s="5">
        <v>63</v>
      </c>
      <c r="C69" s="6" t="s">
        <v>141</v>
      </c>
      <c r="D69" s="6" t="s">
        <v>142</v>
      </c>
      <c r="E69" s="19">
        <v>8.1</v>
      </c>
      <c r="F69" s="8">
        <v>115.5969</v>
      </c>
      <c r="G69" s="9">
        <f t="shared" si="1"/>
        <v>936.33489</v>
      </c>
    </row>
    <row r="70" spans="2:7" ht="12">
      <c r="B70" s="5">
        <v>64</v>
      </c>
      <c r="C70" s="6" t="s">
        <v>143</v>
      </c>
      <c r="D70" s="6" t="s">
        <v>144</v>
      </c>
      <c r="E70" s="19">
        <v>1</v>
      </c>
      <c r="F70" s="20">
        <v>0.01</v>
      </c>
      <c r="G70" s="9">
        <f t="shared" si="1"/>
        <v>0.01</v>
      </c>
    </row>
    <row r="71" spans="2:7" ht="12">
      <c r="B71" s="5">
        <v>65</v>
      </c>
      <c r="C71" s="6" t="s">
        <v>145</v>
      </c>
      <c r="D71" s="6" t="s">
        <v>115</v>
      </c>
      <c r="E71" s="19">
        <v>4.18</v>
      </c>
      <c r="F71" s="8">
        <v>209.00580000000002</v>
      </c>
      <c r="G71" s="9">
        <f t="shared" si="1"/>
        <v>873.6442440000001</v>
      </c>
    </row>
    <row r="72" spans="2:7" ht="24">
      <c r="B72" s="5">
        <v>66</v>
      </c>
      <c r="C72" s="6" t="s">
        <v>146</v>
      </c>
      <c r="D72" s="6" t="s">
        <v>107</v>
      </c>
      <c r="E72" s="19">
        <v>0.023275</v>
      </c>
      <c r="F72" s="8">
        <v>2532.4248</v>
      </c>
      <c r="G72" s="9">
        <f aca="true" t="shared" si="2" ref="G72:G103">E72*F72</f>
        <v>58.942187219999994</v>
      </c>
    </row>
    <row r="73" spans="2:7" ht="12">
      <c r="B73" s="5">
        <v>67</v>
      </c>
      <c r="C73" s="6" t="s">
        <v>147</v>
      </c>
      <c r="D73" s="6" t="s">
        <v>109</v>
      </c>
      <c r="E73" s="19">
        <v>0.0008</v>
      </c>
      <c r="F73" s="20">
        <v>0.01</v>
      </c>
      <c r="G73" s="9">
        <f t="shared" si="2"/>
        <v>8.000000000000001E-06</v>
      </c>
    </row>
    <row r="74" spans="2:7" ht="12">
      <c r="B74" s="5">
        <v>68</v>
      </c>
      <c r="C74" s="6" t="s">
        <v>148</v>
      </c>
      <c r="D74" s="6" t="s">
        <v>112</v>
      </c>
      <c r="E74" s="19">
        <v>12.2824</v>
      </c>
      <c r="F74" s="8">
        <v>3.7152</v>
      </c>
      <c r="G74" s="9">
        <f t="shared" si="2"/>
        <v>45.63157248</v>
      </c>
    </row>
    <row r="75" spans="2:7" ht="12">
      <c r="B75" s="5">
        <v>69</v>
      </c>
      <c r="C75" s="6" t="s">
        <v>149</v>
      </c>
      <c r="D75" s="6" t="s">
        <v>115</v>
      </c>
      <c r="E75" s="19">
        <v>0.462</v>
      </c>
      <c r="F75" s="8">
        <v>37.6035</v>
      </c>
      <c r="G75" s="9">
        <f t="shared" si="2"/>
        <v>17.372816999999998</v>
      </c>
    </row>
    <row r="76" spans="2:7" ht="12">
      <c r="B76" s="5">
        <v>70</v>
      </c>
      <c r="C76" s="6" t="s">
        <v>150</v>
      </c>
      <c r="D76" s="6" t="s">
        <v>109</v>
      </c>
      <c r="E76" s="19">
        <v>0.0004</v>
      </c>
      <c r="F76" s="8">
        <v>33255.4389</v>
      </c>
      <c r="G76" s="9">
        <f t="shared" si="2"/>
        <v>13.30217556</v>
      </c>
    </row>
    <row r="77" spans="2:7" ht="12">
      <c r="B77" s="5">
        <v>71</v>
      </c>
      <c r="C77" s="6" t="s">
        <v>151</v>
      </c>
      <c r="D77" s="6" t="s">
        <v>112</v>
      </c>
      <c r="E77" s="19">
        <v>0.5</v>
      </c>
      <c r="F77" s="8">
        <v>76.8066</v>
      </c>
      <c r="G77" s="9">
        <f t="shared" si="2"/>
        <v>38.4033</v>
      </c>
    </row>
    <row r="78" spans="2:7" ht="12">
      <c r="B78" s="5">
        <v>72</v>
      </c>
      <c r="C78" s="6" t="s">
        <v>152</v>
      </c>
      <c r="D78" s="6" t="s">
        <v>109</v>
      </c>
      <c r="E78" s="19">
        <v>0.00019</v>
      </c>
      <c r="F78" s="8">
        <v>39357.9</v>
      </c>
      <c r="G78" s="9">
        <f t="shared" si="2"/>
        <v>7.478001000000001</v>
      </c>
    </row>
    <row r="79" spans="2:7" ht="12">
      <c r="B79" s="5">
        <v>73</v>
      </c>
      <c r="C79" s="6" t="s">
        <v>153</v>
      </c>
      <c r="D79" s="6" t="s">
        <v>115</v>
      </c>
      <c r="E79" s="19">
        <v>10.21515</v>
      </c>
      <c r="F79" s="8">
        <v>116.5644</v>
      </c>
      <c r="G79" s="9">
        <f t="shared" si="2"/>
        <v>1190.72283066</v>
      </c>
    </row>
    <row r="80" spans="2:7" ht="12">
      <c r="B80" s="5">
        <v>74</v>
      </c>
      <c r="C80" s="6" t="s">
        <v>154</v>
      </c>
      <c r="D80" s="6" t="s">
        <v>115</v>
      </c>
      <c r="E80" s="19">
        <v>0.036</v>
      </c>
      <c r="F80" s="8">
        <v>64.15169999999999</v>
      </c>
      <c r="G80" s="9">
        <f t="shared" si="2"/>
        <v>2.3094611999999994</v>
      </c>
    </row>
    <row r="81" spans="2:7" ht="12">
      <c r="B81" s="5">
        <v>75</v>
      </c>
      <c r="C81" s="6" t="s">
        <v>155</v>
      </c>
      <c r="D81" s="6" t="s">
        <v>109</v>
      </c>
      <c r="E81" s="19">
        <v>0.0018</v>
      </c>
      <c r="F81" s="20">
        <v>0.01</v>
      </c>
      <c r="G81" s="9">
        <f t="shared" si="2"/>
        <v>1.8E-05</v>
      </c>
    </row>
    <row r="82" spans="2:7" ht="12">
      <c r="B82" s="5">
        <v>76</v>
      </c>
      <c r="C82" s="6" t="s">
        <v>156</v>
      </c>
      <c r="D82" s="6" t="s">
        <v>109</v>
      </c>
      <c r="E82" s="19">
        <v>0.020832</v>
      </c>
      <c r="F82" s="8">
        <v>8059.146</v>
      </c>
      <c r="G82" s="9">
        <f t="shared" si="2"/>
        <v>167.888129472</v>
      </c>
    </row>
    <row r="83" spans="2:7" ht="24">
      <c r="B83" s="5">
        <v>77</v>
      </c>
      <c r="C83" s="6" t="s">
        <v>157</v>
      </c>
      <c r="D83" s="6" t="s">
        <v>107</v>
      </c>
      <c r="E83" s="19">
        <v>0.00033267</v>
      </c>
      <c r="F83" s="8">
        <v>962.0690999999999</v>
      </c>
      <c r="G83" s="9">
        <f t="shared" si="2"/>
        <v>0.320051527497</v>
      </c>
    </row>
    <row r="84" spans="2:7" ht="12">
      <c r="B84" s="5">
        <v>78</v>
      </c>
      <c r="C84" s="6" t="s">
        <v>158</v>
      </c>
      <c r="D84" s="6" t="s">
        <v>112</v>
      </c>
      <c r="E84" s="19">
        <v>0.5</v>
      </c>
      <c r="F84" s="8">
        <v>340.76640000000003</v>
      </c>
      <c r="G84" s="9">
        <f t="shared" si="2"/>
        <v>170.38320000000002</v>
      </c>
    </row>
    <row r="85" spans="2:7" ht="12">
      <c r="B85" s="5">
        <v>79</v>
      </c>
      <c r="C85" s="6" t="s">
        <v>159</v>
      </c>
      <c r="D85" s="6" t="s">
        <v>115</v>
      </c>
      <c r="E85" s="19">
        <v>0.5052</v>
      </c>
      <c r="F85" s="8">
        <v>176.1237</v>
      </c>
      <c r="G85" s="9">
        <f t="shared" si="2"/>
        <v>88.97769324000001</v>
      </c>
    </row>
    <row r="86" spans="2:7" ht="12">
      <c r="B86" s="5">
        <v>80</v>
      </c>
      <c r="C86" s="6" t="s">
        <v>160</v>
      </c>
      <c r="D86" s="6" t="s">
        <v>109</v>
      </c>
      <c r="E86" s="19">
        <v>0.0006</v>
      </c>
      <c r="F86" s="8">
        <v>42504.8808</v>
      </c>
      <c r="G86" s="9">
        <f t="shared" si="2"/>
        <v>25.502928479999998</v>
      </c>
    </row>
    <row r="87" spans="2:7" ht="24">
      <c r="B87" s="5">
        <v>81</v>
      </c>
      <c r="C87" s="6" t="s">
        <v>161</v>
      </c>
      <c r="D87" s="6" t="s">
        <v>115</v>
      </c>
      <c r="E87" s="19">
        <v>0.3</v>
      </c>
      <c r="F87" s="8">
        <v>79.24470000000001</v>
      </c>
      <c r="G87" s="9">
        <f t="shared" si="2"/>
        <v>23.773410000000002</v>
      </c>
    </row>
    <row r="88" spans="2:7" ht="12">
      <c r="B88" s="5">
        <v>82</v>
      </c>
      <c r="C88" s="6" t="s">
        <v>162</v>
      </c>
      <c r="D88" s="6" t="s">
        <v>112</v>
      </c>
      <c r="E88" s="19">
        <v>6</v>
      </c>
      <c r="F88" s="8">
        <v>927.381</v>
      </c>
      <c r="G88" s="9">
        <f t="shared" si="2"/>
        <v>5564.286</v>
      </c>
    </row>
    <row r="89" spans="2:7" ht="12">
      <c r="B89" s="5">
        <v>83</v>
      </c>
      <c r="C89" s="6" t="s">
        <v>163</v>
      </c>
      <c r="D89" s="6" t="s">
        <v>112</v>
      </c>
      <c r="E89" s="19">
        <v>30</v>
      </c>
      <c r="F89" s="8">
        <v>2.7606</v>
      </c>
      <c r="G89" s="9">
        <f t="shared" si="2"/>
        <v>82.81800000000001</v>
      </c>
    </row>
    <row r="90" spans="2:7" ht="12">
      <c r="B90" s="5">
        <v>84</v>
      </c>
      <c r="C90" s="6" t="s">
        <v>164</v>
      </c>
      <c r="D90" s="6" t="s">
        <v>107</v>
      </c>
      <c r="E90" s="19">
        <v>0.95</v>
      </c>
      <c r="F90" s="8">
        <v>3547.1775000000002</v>
      </c>
      <c r="G90" s="9">
        <f t="shared" si="2"/>
        <v>3369.818625</v>
      </c>
    </row>
    <row r="91" spans="2:7" ht="12">
      <c r="B91" s="5">
        <v>85</v>
      </c>
      <c r="C91" s="6" t="s">
        <v>165</v>
      </c>
      <c r="D91" s="6" t="s">
        <v>107</v>
      </c>
      <c r="E91" s="19">
        <v>0.08</v>
      </c>
      <c r="F91" s="8">
        <v>5755.3608</v>
      </c>
      <c r="G91" s="9">
        <f t="shared" si="2"/>
        <v>460.42886400000003</v>
      </c>
    </row>
    <row r="92" spans="2:7" ht="12">
      <c r="B92" s="5">
        <v>86</v>
      </c>
      <c r="C92" s="6" t="s">
        <v>166</v>
      </c>
      <c r="D92" s="6" t="s">
        <v>115</v>
      </c>
      <c r="E92" s="19">
        <v>8.4</v>
      </c>
      <c r="F92" s="8">
        <v>96.6855</v>
      </c>
      <c r="G92" s="9">
        <f t="shared" si="2"/>
        <v>812.1582000000001</v>
      </c>
    </row>
    <row r="93" spans="2:7" ht="12">
      <c r="B93" s="5">
        <v>87</v>
      </c>
      <c r="C93" s="6" t="s">
        <v>167</v>
      </c>
      <c r="D93" s="6" t="s">
        <v>112</v>
      </c>
      <c r="E93" s="19">
        <v>10</v>
      </c>
      <c r="F93" s="8">
        <v>41.8476</v>
      </c>
      <c r="G93" s="9">
        <f t="shared" si="2"/>
        <v>418.476</v>
      </c>
    </row>
    <row r="94" spans="2:7" ht="12">
      <c r="B94" s="5">
        <v>88</v>
      </c>
      <c r="C94" s="6" t="s">
        <v>168</v>
      </c>
      <c r="D94" s="6" t="s">
        <v>115</v>
      </c>
      <c r="E94" s="19">
        <v>0.29</v>
      </c>
      <c r="F94" s="8">
        <v>121.6857</v>
      </c>
      <c r="G94" s="9">
        <f t="shared" si="2"/>
        <v>35.288852999999996</v>
      </c>
    </row>
    <row r="95" spans="2:7" ht="12">
      <c r="B95" s="5">
        <v>89</v>
      </c>
      <c r="C95" s="6" t="s">
        <v>169</v>
      </c>
      <c r="D95" s="6" t="s">
        <v>142</v>
      </c>
      <c r="E95" s="19">
        <v>2.6</v>
      </c>
      <c r="F95" s="8">
        <v>167.7387</v>
      </c>
      <c r="G95" s="9">
        <f t="shared" si="2"/>
        <v>436.12062</v>
      </c>
    </row>
    <row r="96" spans="2:7" ht="12">
      <c r="B96" s="5">
        <v>90</v>
      </c>
      <c r="C96" s="6" t="s">
        <v>170</v>
      </c>
      <c r="D96" s="6" t="s">
        <v>144</v>
      </c>
      <c r="E96" s="19">
        <v>1</v>
      </c>
      <c r="F96" s="20">
        <v>450</v>
      </c>
      <c r="G96" s="9">
        <f t="shared" si="2"/>
        <v>450</v>
      </c>
    </row>
    <row r="97" spans="2:7" ht="12">
      <c r="B97" s="5">
        <v>91</v>
      </c>
      <c r="C97" s="6" t="s">
        <v>171</v>
      </c>
      <c r="D97" s="6" t="s">
        <v>112</v>
      </c>
      <c r="E97" s="19">
        <v>4</v>
      </c>
      <c r="F97" s="8">
        <v>455.66670000000005</v>
      </c>
      <c r="G97" s="9">
        <f t="shared" si="2"/>
        <v>1822.6668000000002</v>
      </c>
    </row>
    <row r="98" spans="2:7" ht="24">
      <c r="B98" s="5">
        <v>92</v>
      </c>
      <c r="C98" s="6" t="s">
        <v>172</v>
      </c>
      <c r="D98" s="6" t="s">
        <v>142</v>
      </c>
      <c r="E98" s="19">
        <v>1.37333333</v>
      </c>
      <c r="F98" s="8">
        <v>206.4</v>
      </c>
      <c r="G98" s="9">
        <f t="shared" si="2"/>
        <v>283.455999312</v>
      </c>
    </row>
    <row r="99" spans="2:7" ht="24">
      <c r="B99" s="5">
        <v>93</v>
      </c>
      <c r="C99" s="6" t="s">
        <v>173</v>
      </c>
      <c r="D99" s="6" t="s">
        <v>144</v>
      </c>
      <c r="E99" s="19">
        <v>1</v>
      </c>
      <c r="F99" s="20">
        <v>0.01</v>
      </c>
      <c r="G99" s="9">
        <f t="shared" si="2"/>
        <v>0.01</v>
      </c>
    </row>
    <row r="100" spans="2:7" ht="12">
      <c r="B100" s="5">
        <v>94</v>
      </c>
      <c r="C100" s="6" t="s">
        <v>174</v>
      </c>
      <c r="D100" s="6" t="s">
        <v>142</v>
      </c>
      <c r="E100" s="19">
        <v>4</v>
      </c>
      <c r="F100" s="8">
        <v>56.0118</v>
      </c>
      <c r="G100" s="9">
        <f t="shared" si="2"/>
        <v>224.0472</v>
      </c>
    </row>
    <row r="101" spans="2:7" ht="36">
      <c r="B101" s="5">
        <v>95</v>
      </c>
      <c r="C101" s="6" t="s">
        <v>175</v>
      </c>
      <c r="D101" s="6" t="s">
        <v>109</v>
      </c>
      <c r="E101" s="19">
        <v>0.022</v>
      </c>
      <c r="F101" s="20">
        <v>0.01</v>
      </c>
      <c r="G101" s="9">
        <f t="shared" si="2"/>
        <v>0.00021999999999999998</v>
      </c>
    </row>
    <row r="102" spans="2:7" ht="12">
      <c r="B102" s="5">
        <v>96</v>
      </c>
      <c r="C102" s="6" t="s">
        <v>176</v>
      </c>
      <c r="D102" s="6" t="s">
        <v>112</v>
      </c>
      <c r="E102" s="19">
        <v>0.25</v>
      </c>
      <c r="F102" s="8">
        <v>293.733</v>
      </c>
      <c r="G102" s="9">
        <f t="shared" si="2"/>
        <v>73.43325</v>
      </c>
    </row>
    <row r="103" spans="2:7" ht="12">
      <c r="B103" s="5">
        <v>97</v>
      </c>
      <c r="C103" s="6" t="s">
        <v>177</v>
      </c>
      <c r="D103" s="6" t="s">
        <v>178</v>
      </c>
      <c r="E103" s="19">
        <v>0.65</v>
      </c>
      <c r="F103" s="8">
        <v>32.8821</v>
      </c>
      <c r="G103" s="9">
        <f t="shared" si="2"/>
        <v>21.373365000000003</v>
      </c>
    </row>
    <row r="104" spans="2:7" ht="12">
      <c r="B104" s="5">
        <v>98</v>
      </c>
      <c r="C104" s="6" t="s">
        <v>179</v>
      </c>
      <c r="D104" s="6" t="s">
        <v>180</v>
      </c>
      <c r="E104" s="19">
        <v>4.89</v>
      </c>
      <c r="F104" s="8">
        <v>193.5129</v>
      </c>
      <c r="G104" s="9">
        <f aca="true" t="shared" si="3" ref="G104:G117">E104*F104</f>
        <v>946.2780809999999</v>
      </c>
    </row>
    <row r="105" spans="2:7" ht="12">
      <c r="B105" s="5">
        <v>99</v>
      </c>
      <c r="C105" s="6" t="s">
        <v>181</v>
      </c>
      <c r="D105" s="6" t="s">
        <v>180</v>
      </c>
      <c r="E105" s="19">
        <v>4.99</v>
      </c>
      <c r="F105" s="8">
        <v>382.2012</v>
      </c>
      <c r="G105" s="9">
        <f t="shared" si="3"/>
        <v>1907.183988</v>
      </c>
    </row>
    <row r="106" spans="2:7" ht="12">
      <c r="B106" s="5">
        <v>100</v>
      </c>
      <c r="C106" s="6" t="s">
        <v>182</v>
      </c>
      <c r="D106" s="6" t="s">
        <v>112</v>
      </c>
      <c r="E106" s="19">
        <v>0.5</v>
      </c>
      <c r="F106" s="8">
        <v>266.5398</v>
      </c>
      <c r="G106" s="9">
        <f t="shared" si="3"/>
        <v>133.2699</v>
      </c>
    </row>
    <row r="107" spans="2:7" ht="12">
      <c r="B107" s="5">
        <v>101</v>
      </c>
      <c r="C107" s="6" t="s">
        <v>183</v>
      </c>
      <c r="D107" s="6" t="s">
        <v>109</v>
      </c>
      <c r="E107" s="19">
        <v>0.0145</v>
      </c>
      <c r="F107" s="8">
        <v>28129.0434</v>
      </c>
      <c r="G107" s="9">
        <f t="shared" si="3"/>
        <v>407.8711293</v>
      </c>
    </row>
    <row r="108" spans="2:7" ht="12">
      <c r="B108" s="5">
        <v>102</v>
      </c>
      <c r="C108" s="6" t="s">
        <v>184</v>
      </c>
      <c r="D108" s="6" t="s">
        <v>185</v>
      </c>
      <c r="E108" s="19">
        <v>0.0085</v>
      </c>
      <c r="F108" s="8">
        <v>84124.4088</v>
      </c>
      <c r="G108" s="9">
        <f t="shared" si="3"/>
        <v>715.0574748000001</v>
      </c>
    </row>
    <row r="109" spans="2:7" ht="24">
      <c r="B109" s="5">
        <v>103</v>
      </c>
      <c r="C109" s="6" t="s">
        <v>186</v>
      </c>
      <c r="D109" s="6" t="s">
        <v>112</v>
      </c>
      <c r="E109" s="19">
        <v>2.5</v>
      </c>
      <c r="F109" s="8">
        <v>19.5306</v>
      </c>
      <c r="G109" s="9">
        <f t="shared" si="3"/>
        <v>48.826499999999996</v>
      </c>
    </row>
    <row r="110" spans="2:7" ht="12">
      <c r="B110" s="5">
        <v>104</v>
      </c>
      <c r="C110" s="6" t="s">
        <v>187</v>
      </c>
      <c r="D110" s="6" t="s">
        <v>109</v>
      </c>
      <c r="E110" s="19">
        <v>0.00255</v>
      </c>
      <c r="F110" s="8">
        <v>25179.3423</v>
      </c>
      <c r="G110" s="9">
        <f t="shared" si="3"/>
        <v>64.20732286500001</v>
      </c>
    </row>
    <row r="111" spans="2:7" ht="12">
      <c r="B111" s="5">
        <v>105</v>
      </c>
      <c r="C111" s="6" t="s">
        <v>188</v>
      </c>
      <c r="D111" s="6" t="s">
        <v>112</v>
      </c>
      <c r="E111" s="19">
        <v>30</v>
      </c>
      <c r="F111" s="8">
        <v>31.527600000000003</v>
      </c>
      <c r="G111" s="9">
        <f t="shared" si="3"/>
        <v>945.8280000000001</v>
      </c>
    </row>
    <row r="112" spans="2:7" ht="12">
      <c r="B112" s="5">
        <v>106</v>
      </c>
      <c r="C112" s="6" t="s">
        <v>189</v>
      </c>
      <c r="D112" s="6" t="s">
        <v>142</v>
      </c>
      <c r="E112" s="19">
        <v>0.297648</v>
      </c>
      <c r="F112" s="8">
        <v>257.742</v>
      </c>
      <c r="G112" s="9">
        <f t="shared" si="3"/>
        <v>76.71639081600001</v>
      </c>
    </row>
    <row r="113" spans="2:7" ht="12">
      <c r="B113" s="5">
        <v>107</v>
      </c>
      <c r="C113" s="6" t="s">
        <v>190</v>
      </c>
      <c r="D113" s="6" t="s">
        <v>109</v>
      </c>
      <c r="E113" s="19">
        <v>0</v>
      </c>
      <c r="F113" s="8">
        <v>16455.2142</v>
      </c>
      <c r="G113" s="9">
        <f t="shared" si="3"/>
        <v>0</v>
      </c>
    </row>
    <row r="114" spans="2:7" ht="12">
      <c r="B114" s="5">
        <v>108</v>
      </c>
      <c r="C114" s="6" t="s">
        <v>191</v>
      </c>
      <c r="D114" s="6" t="s">
        <v>109</v>
      </c>
      <c r="E114" s="19">
        <v>0.0102244</v>
      </c>
      <c r="F114" s="8">
        <v>14700.7497</v>
      </c>
      <c r="G114" s="9">
        <f t="shared" si="3"/>
        <v>150.30634523268</v>
      </c>
    </row>
    <row r="115" spans="2:7" ht="12">
      <c r="B115" s="5">
        <v>109</v>
      </c>
      <c r="C115" s="6" t="s">
        <v>192</v>
      </c>
      <c r="D115" s="6" t="s">
        <v>180</v>
      </c>
      <c r="E115" s="19">
        <v>8.16</v>
      </c>
      <c r="F115" s="8">
        <v>92.02860000000001</v>
      </c>
      <c r="G115" s="9">
        <f t="shared" si="3"/>
        <v>750.9533760000002</v>
      </c>
    </row>
    <row r="116" spans="2:7" ht="12">
      <c r="B116" s="5">
        <v>110</v>
      </c>
      <c r="C116" s="6" t="s">
        <v>193</v>
      </c>
      <c r="D116" s="6" t="s">
        <v>109</v>
      </c>
      <c r="E116" s="19">
        <v>0.000636</v>
      </c>
      <c r="F116" s="8">
        <v>56420.317200000005</v>
      </c>
      <c r="G116" s="9">
        <f t="shared" si="3"/>
        <v>35.8833217392</v>
      </c>
    </row>
    <row r="117" spans="2:7" ht="12">
      <c r="B117" s="5">
        <v>111</v>
      </c>
      <c r="C117" s="6" t="s">
        <v>194</v>
      </c>
      <c r="D117" s="6" t="s">
        <v>109</v>
      </c>
      <c r="E117" s="19">
        <v>0.0008</v>
      </c>
      <c r="F117" s="20">
        <v>0.01</v>
      </c>
      <c r="G117" s="9">
        <f t="shared" si="3"/>
        <v>8.000000000000001E-06</v>
      </c>
    </row>
    <row r="118" spans="2:7" ht="12">
      <c r="B118" s="87" t="s">
        <v>56</v>
      </c>
      <c r="C118" s="88"/>
      <c r="D118" s="88"/>
      <c r="E118" s="88"/>
      <c r="F118" s="89"/>
      <c r="G118" s="10">
        <f>SUM(G40:G117)</f>
        <v>38473.2069958918</v>
      </c>
    </row>
    <row r="119" spans="2:7" ht="15">
      <c r="B119" s="90" t="s">
        <v>195</v>
      </c>
      <c r="C119" s="90"/>
      <c r="D119" s="90"/>
      <c r="E119" s="90"/>
      <c r="F119" s="90"/>
      <c r="G119" s="90"/>
    </row>
    <row r="120" spans="2:7" ht="12">
      <c r="B120" s="15">
        <v>112</v>
      </c>
      <c r="C120" s="16" t="s">
        <v>196</v>
      </c>
      <c r="D120" s="16" t="s">
        <v>112</v>
      </c>
      <c r="E120" s="17">
        <v>0.00182836</v>
      </c>
      <c r="F120" s="18">
        <v>107.46990000000001</v>
      </c>
      <c r="G120" s="21">
        <f aca="true" t="shared" si="4" ref="G120:G128">E120*F120</f>
        <v>0.196493666364</v>
      </c>
    </row>
    <row r="121" spans="2:7" ht="12">
      <c r="B121" s="5">
        <v>113</v>
      </c>
      <c r="C121" s="6" t="s">
        <v>197</v>
      </c>
      <c r="D121" s="6" t="s">
        <v>112</v>
      </c>
      <c r="E121" s="19">
        <v>0.02194058</v>
      </c>
      <c r="F121" s="8">
        <v>61.3524</v>
      </c>
      <c r="G121" s="9">
        <f t="shared" si="4"/>
        <v>1.3461072403920002</v>
      </c>
    </row>
    <row r="122" spans="2:7" ht="12">
      <c r="B122" s="5">
        <v>114</v>
      </c>
      <c r="C122" s="6" t="s">
        <v>198</v>
      </c>
      <c r="D122" s="6" t="s">
        <v>112</v>
      </c>
      <c r="E122" s="19">
        <v>0.0359</v>
      </c>
      <c r="F122" s="8">
        <v>255.98760000000001</v>
      </c>
      <c r="G122" s="9">
        <f t="shared" si="4"/>
        <v>9.18995484</v>
      </c>
    </row>
    <row r="123" spans="2:7" ht="12">
      <c r="B123" s="5">
        <v>115</v>
      </c>
      <c r="C123" s="6" t="s">
        <v>199</v>
      </c>
      <c r="D123" s="6" t="s">
        <v>112</v>
      </c>
      <c r="E123" s="19">
        <v>0.00936</v>
      </c>
      <c r="F123" s="8">
        <v>270.90000000000003</v>
      </c>
      <c r="G123" s="9">
        <f t="shared" si="4"/>
        <v>2.5356240000000003</v>
      </c>
    </row>
    <row r="124" spans="2:7" ht="12">
      <c r="B124" s="5">
        <v>116</v>
      </c>
      <c r="C124" s="6" t="s">
        <v>200</v>
      </c>
      <c r="D124" s="6" t="s">
        <v>112</v>
      </c>
      <c r="E124" s="19">
        <v>2.6833196</v>
      </c>
      <c r="F124" s="8">
        <v>68.2281</v>
      </c>
      <c r="G124" s="9">
        <f t="shared" si="4"/>
        <v>183.07779800076</v>
      </c>
    </row>
    <row r="125" spans="2:7" ht="12">
      <c r="B125" s="5">
        <v>117</v>
      </c>
      <c r="C125" s="6" t="s">
        <v>201</v>
      </c>
      <c r="D125" s="6" t="s">
        <v>112</v>
      </c>
      <c r="E125" s="19">
        <v>0.0118196</v>
      </c>
      <c r="F125" s="8">
        <v>187.68210000000002</v>
      </c>
      <c r="G125" s="9">
        <f t="shared" si="4"/>
        <v>2.21832734916</v>
      </c>
    </row>
    <row r="126" spans="2:7" ht="12">
      <c r="B126" s="5">
        <v>118</v>
      </c>
      <c r="C126" s="6" t="s">
        <v>202</v>
      </c>
      <c r="D126" s="6" t="s">
        <v>112</v>
      </c>
      <c r="E126" s="19">
        <v>0.00091418</v>
      </c>
      <c r="F126" s="8">
        <v>105.78</v>
      </c>
      <c r="G126" s="9">
        <f t="shared" si="4"/>
        <v>0.0967019604</v>
      </c>
    </row>
    <row r="127" spans="2:7" ht="12">
      <c r="B127" s="5">
        <v>119</v>
      </c>
      <c r="C127" s="6" t="s">
        <v>203</v>
      </c>
      <c r="D127" s="6" t="s">
        <v>112</v>
      </c>
      <c r="E127" s="19">
        <v>0.0216</v>
      </c>
      <c r="F127" s="8">
        <v>2327.16</v>
      </c>
      <c r="G127" s="9">
        <f t="shared" si="4"/>
        <v>50.266656</v>
      </c>
    </row>
    <row r="128" spans="2:7" ht="12">
      <c r="B128" s="5">
        <v>120</v>
      </c>
      <c r="C128" s="6" t="s">
        <v>204</v>
      </c>
      <c r="D128" s="6" t="s">
        <v>112</v>
      </c>
      <c r="E128" s="19">
        <v>0.00182836</v>
      </c>
      <c r="F128" s="8">
        <v>51.6</v>
      </c>
      <c r="G128" s="9">
        <f t="shared" si="4"/>
        <v>0.094343376</v>
      </c>
    </row>
    <row r="129" spans="2:7" ht="12">
      <c r="B129" s="87" t="s">
        <v>56</v>
      </c>
      <c r="C129" s="88"/>
      <c r="D129" s="88"/>
      <c r="E129" s="88"/>
      <c r="F129" s="89"/>
      <c r="G129" s="10">
        <f>SUM(G120:G128)</f>
        <v>249.02200643307603</v>
      </c>
    </row>
    <row r="130" spans="2:7" ht="15">
      <c r="B130" s="90" t="s">
        <v>205</v>
      </c>
      <c r="C130" s="90"/>
      <c r="D130" s="90"/>
      <c r="E130" s="90"/>
      <c r="F130" s="90"/>
      <c r="G130" s="90"/>
    </row>
    <row r="131" spans="2:7" ht="12">
      <c r="B131" s="15">
        <v>121</v>
      </c>
      <c r="C131" s="16" t="s">
        <v>206</v>
      </c>
      <c r="D131" s="16" t="s">
        <v>207</v>
      </c>
      <c r="E131" s="17">
        <v>1.146</v>
      </c>
      <c r="F131" s="18">
        <v>764.408</v>
      </c>
      <c r="G131" s="21">
        <f>E131*F131</f>
        <v>876.0115679999999</v>
      </c>
    </row>
    <row r="132" spans="2:7" ht="12">
      <c r="B132" s="5">
        <v>122</v>
      </c>
      <c r="C132" s="6" t="s">
        <v>208</v>
      </c>
      <c r="D132" s="6" t="s">
        <v>209</v>
      </c>
      <c r="E132" s="19">
        <v>1.146</v>
      </c>
      <c r="F132" s="20">
        <v>0.01</v>
      </c>
      <c r="G132" s="9">
        <f>E132*F132</f>
        <v>0.01146</v>
      </c>
    </row>
    <row r="133" spans="2:7" ht="12">
      <c r="B133" s="87" t="s">
        <v>56</v>
      </c>
      <c r="C133" s="88"/>
      <c r="D133" s="88"/>
      <c r="E133" s="88"/>
      <c r="F133" s="89"/>
      <c r="G133" s="10">
        <f>SUM(G131:G132)</f>
        <v>876.023028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29:F129"/>
    <mergeCell ref="B130:G130"/>
    <mergeCell ref="B133:F133"/>
    <mergeCell ref="B1:G1"/>
    <mergeCell ref="B4:G4"/>
    <mergeCell ref="B38:F38"/>
    <mergeCell ref="B39:G39"/>
    <mergeCell ref="B118:F118"/>
    <mergeCell ref="B119:G119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admin</cp:lastModifiedBy>
  <cp:lastPrinted>2017-10-18T00:55:55Z</cp:lastPrinted>
  <dcterms:created xsi:type="dcterms:W3CDTF">2015-02-13T09:45:00Z</dcterms:created>
  <dcterms:modified xsi:type="dcterms:W3CDTF">2017-10-30T23:53:31Z</dcterms:modified>
  <cp:category>Test result file</cp:category>
  <cp:version/>
  <cp:contentType/>
  <cp:contentStatus/>
</cp:coreProperties>
</file>