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<sst xmlns="http://schemas.openxmlformats.org/spreadsheetml/2006/main" count="352" uniqueCount="241">
  <si>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</si>
  <si>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</si>
  <si>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</si>
  <si>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</si>
  <si>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</si>
  <si>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</si>
  <si>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</si>
  <si>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</si>
  <si>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</si>
  <si>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</si>
  <si>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</si>
  <si>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</si>
  <si>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с. Плодопитомник, ул. Мичурина 3</t>
  </si>
  <si>
    <t>Простая масляная окраска ранее окрашенных поверхностей</t>
  </si>
  <si>
    <t>100 м2 окрашенной поверхности</t>
  </si>
  <si>
    <t>100 кв.м</t>
  </si>
  <si>
    <t>Смена поврежденных листов асбоцементных кровель</t>
  </si>
  <si>
    <t>100 м2 сменяемого покрытия</t>
  </si>
  <si>
    <t>Простая масляная окраска дверей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</si>
  <si>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</si>
  <si>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</si>
  <si>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</si>
  <si>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</si>
  <si>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</si>
  <si>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</si>
  <si>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</si>
  <si>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Восстановление разрушенной тепловой изоляции минераловатными матами</t>
  </si>
  <si>
    <t>100 м2 восстановленного участка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</si>
  <si>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</si>
  <si>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</si>
  <si>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</si>
  <si>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</si>
  <si>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</si>
  <si>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</si>
  <si>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</si>
  <si>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</si>
  <si>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</si>
  <si>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</si>
  <si>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</si>
  <si>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</si>
  <si>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</si>
  <si>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</si>
  <si>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</si>
  <si>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</si>
  <si>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</si>
  <si>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Подметание в летний период  земельного участка с неусовершенствованным покрытием 1 класса</t>
  </si>
  <si>
    <t>1 000 кв.м. территории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</si>
  <si>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</si>
  <si>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</si>
  <si>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неусовершенствованным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</si>
  <si>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</si>
  <si>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неусовершенствованным покрытием 1 класса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</si>
  <si>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</si>
  <si>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</si>
  <si>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</si>
  <si>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</si>
  <si>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</si>
  <si>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</si>
  <si>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</si>
  <si>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</si>
  <si>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</si>
  <si>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</si>
  <si>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</si>
  <si>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</si>
  <si>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</si>
  <si>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</si>
  <si>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</si>
  <si>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</si>
  <si>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</si>
  <si>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</si>
  <si>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</si>
  <si>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Дворник 1 разряда</t>
  </si>
  <si>
    <t>чел.-час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</si>
  <si>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</si>
  <si>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</si>
  <si>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</si>
  <si>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</si>
  <si>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</si>
  <si>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</si>
  <si>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</si>
  <si>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</si>
  <si>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</si>
  <si>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</si>
  <si>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</si>
  <si>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</si>
  <si>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</si>
  <si>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</si>
  <si>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Рабочий по комплексному обслуживанию и ремонту зданий 2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</si>
  <si>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</si>
  <si>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</si>
  <si>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</si>
  <si>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</si>
  <si>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</si>
  <si>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</si>
  <si>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</si>
  <si>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</si>
  <si>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</si>
  <si>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</si>
  <si>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</si>
  <si>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</si>
  <si>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</si>
  <si>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</si>
  <si>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Ацетилен газообразный технический</t>
  </si>
  <si>
    <t>м3</t>
  </si>
  <si>
    <t>Белила</t>
  </si>
  <si>
    <t>т</t>
  </si>
  <si>
    <t>Болты с гайками и шайбами для санитарно-технических работ, диаметром 16 мм</t>
  </si>
  <si>
    <t xml:space="preserve">Вентили проходные фланцевые 15С22НЖ для воды и пара, давлением 4 МПа (40 кгс/см2), диаметром 50 мм </t>
  </si>
  <si>
    <t>шт.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</si>
  <si>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</si>
  <si>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</si>
  <si>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</si>
  <si>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</si>
  <si>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x60 мм</t>
  </si>
  <si>
    <t>Готовая смесь для уничтожения насекомых (порошок Абсолют Дуст)</t>
  </si>
  <si>
    <t>Детали к листам асбестоцементным волнистым обыкновенного профиля, коньковые К-1 и К-2</t>
  </si>
  <si>
    <t>100 пар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</si>
  <si>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</si>
  <si>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</si>
  <si>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</si>
  <si>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</si>
  <si>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</si>
  <si>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</si>
  <si>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</si>
  <si>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</si>
  <si>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</si>
  <si>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</si>
  <si>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</si>
  <si>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</si>
  <si>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</si>
  <si>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</si>
  <si>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</si>
  <si>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</si>
  <si>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</si>
  <si>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</si>
  <si>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</si>
  <si>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</si>
  <si>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</si>
  <si>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</si>
  <si>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>Мастика тиоколовая строительного назначения КБ-0,5</t>
  </si>
  <si>
    <t>Маты минераловатные прошивные без обкладок М-100, толщина  40 мм</t>
  </si>
  <si>
    <t>Металлические изделия</t>
  </si>
  <si>
    <t>Мешки полиэтиленовые, 60 л</t>
  </si>
  <si>
    <t>Мыло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</si>
  <si>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</si>
  <si>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</si>
  <si>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</si>
  <si>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</si>
  <si>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</si>
  <si>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</si>
  <si>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</si>
  <si>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</si>
  <si>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</si>
  <si>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</si>
  <si>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</si>
  <si>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</si>
  <si>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Прокладки толевые уплотнительные 20 x 20 мм</t>
  </si>
  <si>
    <t>Раствор готовый кладочный цементный М100</t>
  </si>
  <si>
    <t>Резина листовая вулканизованная цветная</t>
  </si>
  <si>
    <t>Сгоны стальные с муфтой и контргайкой, диаметром 32 мм</t>
  </si>
  <si>
    <t>Сетка тканая с квадратными ячейками N 05 без покрытия</t>
  </si>
  <si>
    <t>Соединительные детали "Vestol" размером 1"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</si>
  <si>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</si>
  <si>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</si>
  <si>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</si>
  <si>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</si>
  <si>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</si>
  <si>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</si>
  <si>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</si>
  <si>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</si>
  <si>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</si>
  <si>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</si>
  <si>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</si>
  <si>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</si>
  <si>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</si>
  <si>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</si>
  <si>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</si>
  <si>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</si>
  <si>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</si>
  <si>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</si>
  <si>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</si>
  <si>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</si>
  <si>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</si>
  <si>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</si>
  <si>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</si>
  <si>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</si>
  <si>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</si>
  <si>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</si>
  <si>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</si>
  <si>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</si>
  <si>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</si>
  <si>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</si>
  <si>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Машины/Механизмы</t>
  </si>
  <si>
    <t>Вышки телескопические 25 м</t>
  </si>
  <si>
    <t>маш.-час</t>
  </si>
  <si>
    <t>Компрессор передвижной с двигателем внутреннего сгорания</t>
  </si>
  <si>
    <t>маш.-час.</t>
  </si>
  <si>
    <t>1. КОНСТРУКТИВНЫЕ ЭЛЕМЕНТЫ</t>
  </si>
  <si>
    <t>1.1. Кирпичные , каменные, железобетонные стены</t>
  </si>
  <si>
    <t>1.2. Крыши и кровли</t>
  </si>
  <si>
    <t>1.3. Оконные и дверные проёмы</t>
  </si>
  <si>
    <t xml:space="preserve"> 1.4.Лестницы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</si>
  <si>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</si>
  <si>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</si>
  <si>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</si>
  <si>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</si>
  <si>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</si>
  <si>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2.5. Внутридомовое электрооборудование (ООО "Электромонтаж)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</si>
  <si>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</si>
  <si>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</si>
  <si>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4. САНИТАРНОЕ СОДЕРЖАНИЕ МЕСТ ОБЩЕГО ПОЛЬЗОВАНИЯ, УБОРКА И БЛАГОУСТРОЙСТВО ПРИДОМОВОЙ ТЕРРИТОРИИ</t>
  </si>
  <si>
    <t>Общая площадь МКД, м2</t>
  </si>
  <si>
    <t>ТАРИФ,  руб/кв.м. в мес.</t>
  </si>
  <si>
    <t>Исп.  Зам.ген.директора по ЖКХ ЗАО "Амурплодсемпром"</t>
  </si>
  <si>
    <t>И.А. Тимакова</t>
  </si>
  <si>
    <t>Техническое обслуживание и ремонт ВДГО</t>
  </si>
  <si>
    <t>Обслуживание электрических сетей, профилактический осмотр, замена вышедших из строя элементов электрооборудования</t>
  </si>
  <si>
    <t>Проверка состояния  окон и дверей подъездов, подвалов , запорных устройств на них. Проверка целосности оконных и дверных заполнений Устранение выявленных неисправностей.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</si>
  <si>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</si>
  <si>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</si>
  <si>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</si>
  <si>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</si>
  <si>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по сбору и  транспортировке ТБО населения</t>
  </si>
  <si>
    <t>1000 м2  общей площади жилых помещений</t>
  </si>
  <si>
    <t>Уполномоченный представитель с правом подписи _________________________  Фёдоров Сергей Михайлович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</si>
  <si>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</si>
  <si>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Окраска ранее окрашенных поверхностей потолков</t>
  </si>
  <si>
    <t>Текущий ремонт водянных подогревателей</t>
  </si>
  <si>
    <t>1.2. Полы</t>
  </si>
  <si>
    <t>Заделка выбоин в цементных полах</t>
  </si>
  <si>
    <t>кв.м.</t>
  </si>
  <si>
    <t>100 м2 отремонтированной поверхности</t>
  </si>
  <si>
    <t>Ремонт обыкновенной штукатурки   фасадов отдельными местами  сухой растворной смесью , грунтование, покраска составами для наружных работ</t>
  </si>
  <si>
    <t>Восстановление (капитальный ремонт) отмостки</t>
  </si>
  <si>
    <t>100 м2 отмостки</t>
  </si>
  <si>
    <t>Перечень услуг и работ на 2015г. определён в соответствии с АКТОМ технического состояния дома № 3 по ул. Мичурина от "_______" _____________________ 2017г.</t>
  </si>
  <si>
    <t>Перечень услуг и работ определён в соответствии с минимальным перечнем, необходимым для надлежащего содержания общего имущества и вынесен на утверждёние общим собранием собственников жилых помещений дома № 3 по ул. Мичурина  "_______" ____________________ 2017г.</t>
  </si>
  <si>
    <t>Смета расходов. Список работ (услуг) по надлежащему содержанию общего имущества МКД. Расчет стоимости работ (услуг)на 2017-2018г.г.</t>
  </si>
  <si>
    <t>Техническое обслуживание ОДПУ (тепло, вода),  проверка наличия и нарушения пломб. Проверка работоспособности запорной арматуры и очистка фильтра.Снятие и запись показаний с вычислителя в журнал.</t>
  </si>
  <si>
    <t>Уборка подвалов (ИТУ)</t>
  </si>
  <si>
    <t xml:space="preserve">100 м2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</si>
</sst>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9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5"/>
      <color indexed="10"/>
      <name val="Courier"/>
      <family val="1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2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2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wrapText="1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2" fontId="9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4" fontId="4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2" fontId="14" fillId="0" borderId="0" xfId="0" applyNumberFormat="1" applyFont="1" applyFill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4" fontId="0" fillId="0" borderId="38" xfId="0" applyNumberFormat="1" applyFill="1" applyBorder="1" applyAlignment="1" applyProtection="1">
      <alignment horizontal="right" vertical="center"/>
      <protection/>
    </xf>
    <xf numFmtId="4" fontId="0" fillId="0" borderId="39" xfId="0" applyNumberFormat="1" applyFill="1" applyBorder="1" applyAlignment="1" applyProtection="1">
      <alignment horizontal="right" vertical="center"/>
      <protection/>
    </xf>
    <xf numFmtId="2" fontId="9" fillId="0" borderId="35" xfId="0" applyNumberFormat="1" applyFont="1" applyFill="1" applyBorder="1" applyAlignment="1" applyProtection="1">
      <alignment horizontal="center" vertical="center"/>
      <protection/>
    </xf>
    <xf numFmtId="2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43" xfId="0" applyNumberFormat="1" applyFill="1" applyBorder="1" applyAlignment="1" applyProtection="1">
      <alignment horizontal="righ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4" fontId="4" fillId="0" borderId="45" xfId="0" applyNumberFormat="1" applyFont="1" applyFill="1" applyBorder="1" applyAlignment="1" applyProtection="1">
      <alignment horizontal="right" vertical="center"/>
      <protection/>
    </xf>
    <xf numFmtId="4" fontId="4" fillId="0" borderId="46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66" zoomScaleNormal="66" zoomScalePageLayoutView="0" workbookViewId="0" topLeftCell="B1">
      <selection activeCell="B2" sqref="B2:M5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8" width="13.00390625" style="0" customWidth="1"/>
    <col min="9" max="9" width="8.7109375" style="0" customWidth="1"/>
    <col min="10" max="10" width="13.00390625" style="0" customWidth="1"/>
    <col min="11" max="11" width="10.421875" style="0" customWidth="1"/>
    <col min="12" max="12" width="13.00390625" style="0" customWidth="1"/>
    <col min="13" max="13" width="12.7109375" style="0" customWidth="1"/>
    <col min="14" max="14" width="11.00390625" style="0" customWidth="1"/>
  </cols>
  <sheetData>
    <row r="1" spans="2:13" ht="39" customHeight="1" thickBot="1">
      <c r="B1" s="58" t="s">
        <v>237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5" ht="15" customHeight="1" thickBot="1">
      <c r="B2" s="59" t="s">
        <v>12</v>
      </c>
      <c r="C2" s="60"/>
      <c r="D2" s="60"/>
      <c r="E2" s="61"/>
      <c r="F2" s="61"/>
      <c r="G2" s="62"/>
      <c r="H2" s="62"/>
      <c r="I2" s="62"/>
      <c r="J2" s="62"/>
      <c r="K2" s="62"/>
      <c r="L2" s="62"/>
      <c r="M2" s="63"/>
      <c r="N2" s="57"/>
      <c r="O2" s="47"/>
    </row>
    <row r="3" spans="1:15" ht="41.25" thickBot="1">
      <c r="A3" s="56"/>
      <c r="B3" s="64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65" t="s">
        <v>11</v>
      </c>
      <c r="N3" s="57"/>
      <c r="O3" s="47"/>
    </row>
    <row r="4" spans="2:15" ht="19.5" customHeight="1">
      <c r="B4" s="66" t="s">
        <v>197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67"/>
      <c r="N4" s="24"/>
      <c r="O4" s="55"/>
    </row>
    <row r="5" spans="2:15" ht="19.5" customHeight="1">
      <c r="B5" s="68" t="s">
        <v>198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69"/>
      <c r="N5" s="25"/>
      <c r="O5" s="26"/>
    </row>
    <row r="6" spans="2:15" ht="25.5" customHeight="1">
      <c r="B6" s="70"/>
      <c r="C6" s="6" t="s">
        <v>233</v>
      </c>
      <c r="D6" s="6" t="s">
        <v>234</v>
      </c>
      <c r="E6" s="7">
        <v>0</v>
      </c>
      <c r="F6" s="7">
        <v>1</v>
      </c>
      <c r="G6" s="8">
        <v>0</v>
      </c>
      <c r="H6" s="8">
        <f>37930.052535*E6*F6</f>
        <v>0</v>
      </c>
      <c r="I6" s="8">
        <v>0</v>
      </c>
      <c r="J6" s="8">
        <v>0</v>
      </c>
      <c r="K6" s="8">
        <f>0*E6*F6</f>
        <v>0</v>
      </c>
      <c r="L6" s="8">
        <f>719.10465*E6*F6</f>
        <v>0</v>
      </c>
      <c r="M6" s="71">
        <f>SUM(G6:L6)</f>
        <v>0</v>
      </c>
      <c r="N6" s="24"/>
      <c r="O6" s="26"/>
    </row>
    <row r="7" spans="2:15" ht="36">
      <c r="B7" s="70"/>
      <c r="C7" s="6" t="s">
        <v>232</v>
      </c>
      <c r="D7" s="6" t="s">
        <v>231</v>
      </c>
      <c r="E7" s="7">
        <v>0.121</v>
      </c>
      <c r="F7" s="7">
        <v>1</v>
      </c>
      <c r="G7" s="8">
        <f>24256.8*E7*F7</f>
        <v>2935.0728</v>
      </c>
      <c r="H7" s="8">
        <f>7511.111688*E7*F7+1700</f>
        <v>2608.844514248</v>
      </c>
      <c r="I7" s="8">
        <v>0</v>
      </c>
      <c r="J7" s="8">
        <f>18337.718434752*E7*F7</f>
        <v>2218.863930604992</v>
      </c>
      <c r="K7" s="8">
        <f>0*E7*F7</f>
        <v>0</v>
      </c>
      <c r="L7" s="8">
        <f>13411.8951318*E7*F7-900</f>
        <v>722.8393109478</v>
      </c>
      <c r="M7" s="71">
        <f>SUM(G7:L7)</f>
        <v>8485.620555800791</v>
      </c>
      <c r="O7" s="34"/>
    </row>
    <row r="8" spans="2:13" ht="53.25" customHeight="1">
      <c r="B8" s="70"/>
      <c r="C8" s="6" t="s">
        <v>225</v>
      </c>
      <c r="D8" s="6" t="s">
        <v>14</v>
      </c>
      <c r="E8" s="27">
        <v>0.62</v>
      </c>
      <c r="F8" s="29">
        <v>1</v>
      </c>
      <c r="G8" s="28">
        <f>954.8396*E8*F8-170+1293.7</f>
        <v>1715.700552</v>
      </c>
      <c r="H8" s="28">
        <f>1329.7566011664*E8*F8+15%+698.63</f>
        <v>1523.229092723168</v>
      </c>
      <c r="I8" s="28">
        <f>0*E8*F8</f>
        <v>0</v>
      </c>
      <c r="J8" s="28">
        <f>718.0393792*E8*F8-130+972.86</f>
        <v>1288.044415104</v>
      </c>
      <c r="K8" s="28">
        <f>0*E8*F8</f>
        <v>0</v>
      </c>
      <c r="L8" s="28">
        <f>525.16178*E8*F8-130+711.53</f>
        <v>907.1303035999999</v>
      </c>
      <c r="M8" s="72">
        <f>SUM(G8:L8)</f>
        <v>5434.104363427168</v>
      </c>
    </row>
    <row r="9" spans="2:17" ht="27.75" customHeight="1">
      <c r="B9" s="70"/>
      <c r="C9" s="6" t="s">
        <v>13</v>
      </c>
      <c r="D9" s="6" t="s">
        <v>14</v>
      </c>
      <c r="E9" s="7">
        <v>0.622</v>
      </c>
      <c r="F9" s="7">
        <v>1</v>
      </c>
      <c r="G9" s="8">
        <f>954.8396*E9*F9</f>
        <v>593.9102312</v>
      </c>
      <c r="H9" s="8">
        <f>1329.7566011664*E9*F9</f>
        <v>827.1086059255008</v>
      </c>
      <c r="I9" s="8">
        <f>0*E9*F9</f>
        <v>0</v>
      </c>
      <c r="J9" s="8">
        <f>718.0393792*E9*F9</f>
        <v>446.6204938624</v>
      </c>
      <c r="K9" s="8">
        <f>0*E9*F9</f>
        <v>0</v>
      </c>
      <c r="L9" s="8">
        <f>631.47755*E9*F9</f>
        <v>392.7790361</v>
      </c>
      <c r="M9" s="71">
        <f>SUM(G9:L9)</f>
        <v>2260.418367087901</v>
      </c>
      <c r="N9" s="24"/>
      <c r="O9" s="26"/>
      <c r="Q9" s="24"/>
    </row>
    <row r="10" spans="2:15" ht="27" customHeight="1">
      <c r="B10" s="70"/>
      <c r="C10" s="6" t="s">
        <v>226</v>
      </c>
      <c r="D10" s="6" t="s">
        <v>15</v>
      </c>
      <c r="E10" s="7">
        <v>0.622</v>
      </c>
      <c r="F10" s="7">
        <v>1</v>
      </c>
      <c r="G10" s="8">
        <f>1175.1872*E10*F10</f>
        <v>730.9664384</v>
      </c>
      <c r="H10" s="8">
        <f>433.123976703*E10*F10</f>
        <v>269.403113509266</v>
      </c>
      <c r="I10" s="8">
        <f>0*E10*F10</f>
        <v>0</v>
      </c>
      <c r="J10" s="8">
        <f>883.7407744*E10*F10</f>
        <v>549.6867616768</v>
      </c>
      <c r="K10" s="8">
        <f>0*E10*F10</f>
        <v>0</v>
      </c>
      <c r="L10" s="8">
        <f>631.47755*E10*F10</f>
        <v>392.7790361</v>
      </c>
      <c r="M10" s="71">
        <f>SUM(G10:L10)</f>
        <v>1942.835349686066</v>
      </c>
      <c r="O10" s="26"/>
    </row>
    <row r="11" spans="2:13" ht="15.75">
      <c r="B11" s="73" t="s">
        <v>228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74"/>
    </row>
    <row r="12" spans="2:13" ht="12">
      <c r="B12" s="70"/>
      <c r="C12" s="6" t="s">
        <v>229</v>
      </c>
      <c r="D12" s="6" t="s">
        <v>230</v>
      </c>
      <c r="E12" s="33">
        <v>0</v>
      </c>
      <c r="F12" s="7">
        <v>1</v>
      </c>
      <c r="G12" s="8">
        <f>153.6264*E12*F12</f>
        <v>0</v>
      </c>
      <c r="H12" s="8">
        <v>0</v>
      </c>
      <c r="I12" s="8">
        <f>0*E12*F12</f>
        <v>0</v>
      </c>
      <c r="J12" s="8">
        <f>115.5270528*E12*F12</f>
        <v>0</v>
      </c>
      <c r="K12" s="8">
        <f>0*E12*F12</f>
        <v>0</v>
      </c>
      <c r="L12" s="8">
        <f>69.13188*E12*F12</f>
        <v>0</v>
      </c>
      <c r="M12" s="71">
        <f>SUM(G12:L12)</f>
        <v>0</v>
      </c>
    </row>
    <row r="13" spans="2:15" ht="15.75">
      <c r="B13" s="68" t="s">
        <v>199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69"/>
      <c r="N13" s="24"/>
      <c r="O13" s="26"/>
    </row>
    <row r="14" spans="2:15" ht="24">
      <c r="B14" s="70"/>
      <c r="C14" s="6" t="s">
        <v>16</v>
      </c>
      <c r="D14" s="6" t="s">
        <v>17</v>
      </c>
      <c r="E14" s="7">
        <v>0</v>
      </c>
      <c r="F14" s="7">
        <v>0</v>
      </c>
      <c r="G14" s="8">
        <f>7560.7098*E14*F14</f>
        <v>0</v>
      </c>
      <c r="H14" s="8">
        <f>36899.69876592*E14*F14</f>
        <v>0</v>
      </c>
      <c r="I14" s="8">
        <f>0*E14*F14</f>
        <v>0</v>
      </c>
      <c r="J14" s="8">
        <f>5685.6537696*E14*F14</f>
        <v>0</v>
      </c>
      <c r="K14" s="8">
        <f>0*E14*F14</f>
        <v>0</v>
      </c>
      <c r="L14" s="8">
        <f>4158.39039*E14*F14</f>
        <v>0</v>
      </c>
      <c r="M14" s="71">
        <f>SUM(G14:L14)</f>
        <v>0</v>
      </c>
      <c r="O14" s="26"/>
    </row>
    <row r="15" spans="2:15" ht="15.75">
      <c r="B15" s="68" t="s">
        <v>200</v>
      </c>
      <c r="C15" s="40"/>
      <c r="D15" s="48"/>
      <c r="E15" s="48"/>
      <c r="F15" s="48"/>
      <c r="G15" s="48"/>
      <c r="H15" s="48"/>
      <c r="I15" s="48"/>
      <c r="J15" s="48"/>
      <c r="K15" s="48"/>
      <c r="L15" s="48"/>
      <c r="M15" s="75"/>
      <c r="N15" s="24"/>
      <c r="O15" s="26"/>
    </row>
    <row r="16" spans="2:13" ht="54.75" customHeight="1">
      <c r="B16" s="70"/>
      <c r="C16" s="30" t="s">
        <v>217</v>
      </c>
      <c r="D16" s="35" t="s">
        <v>39</v>
      </c>
      <c r="E16" s="27">
        <v>1.263</v>
      </c>
      <c r="F16" s="29">
        <v>2</v>
      </c>
      <c r="G16" s="8">
        <f>63.06768*E16*F16+500</f>
        <v>659.30895968</v>
      </c>
      <c r="H16" s="8">
        <v>630.43</v>
      </c>
      <c r="I16" s="8">
        <f>0*E16*F16</f>
        <v>0</v>
      </c>
      <c r="J16" s="8">
        <f>47.42689536*E16*F16+500</f>
        <v>619.80033767936</v>
      </c>
      <c r="K16" s="8">
        <f>0*E16*F16</f>
        <v>0</v>
      </c>
      <c r="L16" s="8">
        <f>34.687224*E16*F16+300</f>
        <v>387.619927824</v>
      </c>
      <c r="M16" s="71">
        <f>SUM(G16:L16)</f>
        <v>2297.15922518336</v>
      </c>
    </row>
    <row r="17" spans="2:14" ht="12">
      <c r="B17" s="70"/>
      <c r="C17" s="6" t="s">
        <v>18</v>
      </c>
      <c r="D17" s="6" t="s">
        <v>19</v>
      </c>
      <c r="E17" s="7">
        <v>0.192</v>
      </c>
      <c r="F17" s="7">
        <v>1</v>
      </c>
      <c r="G17" s="8">
        <f>7785.6152*E17*F17</f>
        <v>1494.8381184</v>
      </c>
      <c r="H17" s="8">
        <f>2018.80631544*E17*F17+58.14</f>
        <v>445.75081256448</v>
      </c>
      <c r="I17" s="8">
        <f>0*E17*F17</f>
        <v>0</v>
      </c>
      <c r="J17" s="8">
        <f>5854.7826304*E17*F17</f>
        <v>1124.1182650368</v>
      </c>
      <c r="K17" s="8">
        <f>0*E17*F17</f>
        <v>0</v>
      </c>
      <c r="L17" s="8">
        <f>3503.52684*E17*F17</f>
        <v>672.67715328</v>
      </c>
      <c r="M17" s="71">
        <f>SUM(G17:L17)</f>
        <v>3737.38434928128</v>
      </c>
      <c r="N17" s="24"/>
    </row>
    <row r="18" spans="2:15" ht="15.75">
      <c r="B18" s="68" t="s">
        <v>201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69"/>
      <c r="N18" s="24"/>
      <c r="O18" s="26"/>
    </row>
    <row r="19" spans="2:13" ht="36">
      <c r="B19" s="70"/>
      <c r="C19" s="6" t="s">
        <v>20</v>
      </c>
      <c r="D19" s="6" t="s">
        <v>21</v>
      </c>
      <c r="E19" s="7">
        <v>0.094</v>
      </c>
      <c r="F19" s="7">
        <v>1</v>
      </c>
      <c r="G19" s="8">
        <f>10240.44609*E19*F19</f>
        <v>962.60193246</v>
      </c>
      <c r="H19" s="8">
        <f>1181.87936208*E19*F19+16.6</f>
        <v>127.69666003552001</v>
      </c>
      <c r="I19" s="8">
        <f>0*E19*F19</f>
        <v>0</v>
      </c>
      <c r="J19" s="8">
        <f>7700.81545968*E19*F19-200</f>
        <v>523.8766532099199</v>
      </c>
      <c r="K19" s="8">
        <f>0*E19*F19</f>
        <v>0</v>
      </c>
      <c r="L19" s="8">
        <f>5632.2453495*E19*F19</f>
        <v>529.431062853</v>
      </c>
      <c r="M19" s="71">
        <f>SUM(G19:L19)</f>
        <v>2143.60630855844</v>
      </c>
    </row>
    <row r="20" spans="2:13" ht="24">
      <c r="B20" s="70"/>
      <c r="C20" s="6" t="s">
        <v>22</v>
      </c>
      <c r="D20" s="6" t="s">
        <v>14</v>
      </c>
      <c r="E20" s="7">
        <v>0.4</v>
      </c>
      <c r="F20" s="7">
        <v>1</v>
      </c>
      <c r="G20" s="8">
        <f>6145.056*E20*F20</f>
        <v>2458.0224</v>
      </c>
      <c r="H20" s="8">
        <f>1397.1015018*E20*F20+48</f>
        <v>606.84060072</v>
      </c>
      <c r="I20" s="8">
        <f>0*E20*F20</f>
        <v>0</v>
      </c>
      <c r="J20" s="8">
        <f>4621.082112*E20*F20-500</f>
        <v>1348.4328448</v>
      </c>
      <c r="K20" s="8">
        <f>0*E20*F20</f>
        <v>0</v>
      </c>
      <c r="L20" s="8">
        <f>3379.7808*E20*F20</f>
        <v>1351.9123200000001</v>
      </c>
      <c r="M20" s="71">
        <f>SUM(G20:L20)</f>
        <v>5765.208165520001</v>
      </c>
    </row>
    <row r="21" spans="2:13" ht="24">
      <c r="B21" s="70"/>
      <c r="C21" s="6" t="s">
        <v>23</v>
      </c>
      <c r="D21" s="6" t="s">
        <v>24</v>
      </c>
      <c r="E21" s="33">
        <f>0.27</f>
        <v>0.27</v>
      </c>
      <c r="F21" s="7">
        <v>1</v>
      </c>
      <c r="G21" s="8">
        <f>2005.2288*E21*F21</f>
        <v>541.411776</v>
      </c>
      <c r="H21" s="8">
        <f>308.253104292*E21*F21+12.48</f>
        <v>95.70833815884001</v>
      </c>
      <c r="I21" s="8">
        <f>0*E21*F21</f>
        <v>0</v>
      </c>
      <c r="J21" s="8">
        <f>1507.9320576*E21*F21</f>
        <v>407.14165555200003</v>
      </c>
      <c r="K21" s="8">
        <f>0*E21*F21</f>
        <v>0</v>
      </c>
      <c r="L21" s="8">
        <f>902.35296*E21*F21</f>
        <v>243.63529920000002</v>
      </c>
      <c r="M21" s="71">
        <f>SUM(G21:L21)</f>
        <v>1287.89706891084</v>
      </c>
    </row>
    <row r="22" spans="2:15" ht="15">
      <c r="B22" s="76" t="s">
        <v>202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67"/>
      <c r="N22" s="24"/>
      <c r="O22" s="24"/>
    </row>
    <row r="23" spans="2:15" ht="15.75">
      <c r="B23" s="68" t="s">
        <v>203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69"/>
      <c r="N23" s="24"/>
      <c r="O23" s="26"/>
    </row>
    <row r="24" spans="2:15" ht="12">
      <c r="B24" s="70"/>
      <c r="C24" s="6" t="s">
        <v>227</v>
      </c>
      <c r="D24" s="6" t="s">
        <v>25</v>
      </c>
      <c r="E24" s="7">
        <v>1</v>
      </c>
      <c r="F24" s="7">
        <v>2</v>
      </c>
      <c r="G24" s="8">
        <f>1235.7492*E24*F24</f>
        <v>2471.4984</v>
      </c>
      <c r="H24" s="8">
        <f>4796.27748103*E24*F24-4500</f>
        <v>5092.5549620599995</v>
      </c>
      <c r="I24" s="8">
        <f>0*E24*F24</f>
        <v>0</v>
      </c>
      <c r="J24" s="8">
        <f>929.2833984*E24*F24</f>
        <v>1858.5667968</v>
      </c>
      <c r="K24" s="8">
        <f>0*E24*F24</f>
        <v>0</v>
      </c>
      <c r="L24" s="8">
        <f>556.08714*E24*F24</f>
        <v>1112.17428</v>
      </c>
      <c r="M24" s="71">
        <f>SUM(G24:L24)</f>
        <v>10534.794438859999</v>
      </c>
      <c r="N24" s="24"/>
      <c r="O24" s="26"/>
    </row>
    <row r="25" spans="2:15" ht="36">
      <c r="B25" s="70"/>
      <c r="C25" s="6" t="s">
        <v>26</v>
      </c>
      <c r="D25" s="6" t="s">
        <v>27</v>
      </c>
      <c r="E25" s="7">
        <v>0.2</v>
      </c>
      <c r="F25" s="7">
        <v>1</v>
      </c>
      <c r="G25" s="8">
        <f>9474.9468*E25*F25-600+200+100</f>
        <v>1594.98936</v>
      </c>
      <c r="H25" s="8">
        <f>1321.0766031*E25*F25+600+100</f>
        <v>964.21532062</v>
      </c>
      <c r="I25" s="8">
        <f>0*E25*F25</f>
        <v>0</v>
      </c>
      <c r="J25" s="8">
        <f>7125.1599936*E25*F25-300</f>
        <v>1125.03199872</v>
      </c>
      <c r="K25" s="8">
        <f>0*E25*F25</f>
        <v>0</v>
      </c>
      <c r="L25" s="8">
        <f>5211.22074*E25*F25-606.31</f>
        <v>435.93414800000005</v>
      </c>
      <c r="M25" s="71">
        <f>SUM(G25:L25)</f>
        <v>4120.17082734</v>
      </c>
      <c r="O25" s="26"/>
    </row>
    <row r="26" spans="2:15" ht="15.75">
      <c r="B26" s="68" t="s">
        <v>204</v>
      </c>
      <c r="C26" s="40"/>
      <c r="D26" s="40"/>
      <c r="E26" s="40"/>
      <c r="F26" s="40"/>
      <c r="G26" s="46"/>
      <c r="H26" s="46"/>
      <c r="I26" s="46"/>
      <c r="J26" s="46"/>
      <c r="K26" s="46"/>
      <c r="L26" s="46"/>
      <c r="M26" s="77"/>
      <c r="N26" s="24"/>
      <c r="O26" s="26"/>
    </row>
    <row r="27" spans="2:15" ht="24">
      <c r="B27" s="70"/>
      <c r="C27" s="6" t="s">
        <v>28</v>
      </c>
      <c r="D27" s="6" t="s">
        <v>29</v>
      </c>
      <c r="E27" s="7">
        <v>0.08</v>
      </c>
      <c r="F27" s="7">
        <v>1</v>
      </c>
      <c r="G27" s="8">
        <f>25915.74904*E27*F27</f>
        <v>2073.2599232</v>
      </c>
      <c r="H27" s="8">
        <f>71208.708855*E27*F27+500</f>
        <v>6196.696708400001</v>
      </c>
      <c r="I27" s="8">
        <f>0*E27*F27</f>
        <v>0</v>
      </c>
      <c r="J27" s="8">
        <f>19488.64327808*E27*F27</f>
        <v>1559.0914622464</v>
      </c>
      <c r="K27" s="8">
        <f>0*E27*F27</f>
        <v>0</v>
      </c>
      <c r="L27" s="8">
        <f>11662.087068*E27*F27</f>
        <v>932.9669654400001</v>
      </c>
      <c r="M27" s="71">
        <f>SUM(G27:L27)</f>
        <v>10762.015059286401</v>
      </c>
      <c r="N27" s="24"/>
      <c r="O27" s="26"/>
    </row>
    <row r="28" spans="2:15" ht="15.75">
      <c r="B28" s="78" t="s">
        <v>205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77"/>
      <c r="N28" s="24"/>
      <c r="O28" s="26"/>
    </row>
    <row r="29" spans="2:15" ht="36">
      <c r="B29" s="70"/>
      <c r="C29" s="6" t="s">
        <v>30</v>
      </c>
      <c r="D29" s="6" t="s">
        <v>29</v>
      </c>
      <c r="E29" s="7">
        <v>0.08</v>
      </c>
      <c r="F29" s="7">
        <v>1</v>
      </c>
      <c r="G29" s="8">
        <f>40467.29664*E29*F29</f>
        <v>3237.3837312</v>
      </c>
      <c r="H29" s="8">
        <f>123715.1507943*E29*F29+500</f>
        <v>10397.212063544</v>
      </c>
      <c r="I29" s="8">
        <f>0*E29*F29</f>
        <v>0</v>
      </c>
      <c r="J29" s="8">
        <f>30431.40707328*E29*F29</f>
        <v>2434.5125658624</v>
      </c>
      <c r="K29" s="8">
        <f>0*E29*F29</f>
        <v>0</v>
      </c>
      <c r="L29" s="8">
        <f>18210.283488*E29*F29</f>
        <v>1456.8226790400001</v>
      </c>
      <c r="M29" s="71">
        <f>SUM(G29:L29)</f>
        <v>17525.9310396464</v>
      </c>
      <c r="N29" s="24"/>
      <c r="O29" s="26"/>
    </row>
    <row r="30" spans="2:15" ht="24">
      <c r="B30" s="70"/>
      <c r="C30" s="6" t="s">
        <v>31</v>
      </c>
      <c r="D30" s="6" t="s">
        <v>32</v>
      </c>
      <c r="E30" s="7">
        <v>0.1</v>
      </c>
      <c r="F30" s="7">
        <v>4</v>
      </c>
      <c r="G30" s="8">
        <f>1783.054*E30*F30</f>
        <v>713.2216000000001</v>
      </c>
      <c r="H30" s="8">
        <f>541.6781595*E30*F30</f>
        <v>216.67126380000002</v>
      </c>
      <c r="I30" s="8">
        <f>0*E30*F30</f>
        <v>0</v>
      </c>
      <c r="J30" s="8">
        <f>1340.856608*E30*F30</f>
        <v>536.3426432</v>
      </c>
      <c r="K30" s="8">
        <f>0*E30*F30</f>
        <v>0</v>
      </c>
      <c r="L30" s="8">
        <f>802.3743*E30*F30+71.32</f>
        <v>392.26972</v>
      </c>
      <c r="M30" s="71">
        <f>SUM(G30:L30)</f>
        <v>1858.505227</v>
      </c>
      <c r="O30" s="26"/>
    </row>
    <row r="31" spans="2:15" ht="15.75">
      <c r="B31" s="68" t="s">
        <v>206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9"/>
      <c r="N31" s="24"/>
      <c r="O31" s="26"/>
    </row>
    <row r="32" spans="2:15" ht="21" customHeight="1">
      <c r="B32" s="70"/>
      <c r="C32" s="6" t="s">
        <v>215</v>
      </c>
      <c r="D32" s="6" t="s">
        <v>41</v>
      </c>
      <c r="E32" s="7">
        <v>0</v>
      </c>
      <c r="F32" s="7">
        <v>0</v>
      </c>
      <c r="G32" s="8">
        <v>0</v>
      </c>
      <c r="H32" s="8">
        <f>0*E32*F32</f>
        <v>0</v>
      </c>
      <c r="I32" s="8">
        <f>0*E32*F32</f>
        <v>0</v>
      </c>
      <c r="J32" s="8">
        <f>0*F32*G32</f>
        <v>0</v>
      </c>
      <c r="K32" s="8">
        <f>0*E32*F32</f>
        <v>0</v>
      </c>
      <c r="L32" s="8">
        <v>0</v>
      </c>
      <c r="M32" s="71">
        <f>SUM(G32:L32)</f>
        <v>0</v>
      </c>
      <c r="O32" s="26"/>
    </row>
    <row r="33" spans="2:15" ht="15.75">
      <c r="B33" s="68" t="s">
        <v>207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69"/>
      <c r="N33" s="24"/>
      <c r="O33" s="26"/>
    </row>
    <row r="34" spans="2:15" ht="36">
      <c r="B34" s="70"/>
      <c r="C34" s="6" t="s">
        <v>216</v>
      </c>
      <c r="D34" s="6" t="s">
        <v>39</v>
      </c>
      <c r="E34" s="7">
        <v>1.264</v>
      </c>
      <c r="F34" s="7">
        <v>12</v>
      </c>
      <c r="G34" s="8">
        <v>18000</v>
      </c>
      <c r="H34" s="8">
        <v>1344.4</v>
      </c>
      <c r="I34" s="8">
        <f>0*E34*F34</f>
        <v>0</v>
      </c>
      <c r="J34" s="8">
        <v>0</v>
      </c>
      <c r="K34" s="8">
        <f>0*E34*F34</f>
        <v>0</v>
      </c>
      <c r="L34" s="8">
        <v>1399.79</v>
      </c>
      <c r="M34" s="71">
        <f>SUM(G34:L34)</f>
        <v>20744.190000000002</v>
      </c>
      <c r="O34" s="26"/>
    </row>
    <row r="35" spans="2:15" ht="15.75">
      <c r="B35" s="68" t="s">
        <v>208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69"/>
      <c r="N35" s="24"/>
      <c r="O35" s="26"/>
    </row>
    <row r="36" spans="2:15" ht="24">
      <c r="B36" s="70"/>
      <c r="C36" s="6" t="s">
        <v>33</v>
      </c>
      <c r="D36" s="6" t="s">
        <v>34</v>
      </c>
      <c r="E36" s="7">
        <v>1.264</v>
      </c>
      <c r="F36" s="7">
        <v>1</v>
      </c>
      <c r="G36" s="8">
        <f>63.06768*E36*F36</f>
        <v>79.71754752000001</v>
      </c>
      <c r="H36" s="8">
        <f>0*E36*F36</f>
        <v>0</v>
      </c>
      <c r="I36" s="8">
        <f>0*E36*F36</f>
        <v>0</v>
      </c>
      <c r="J36" s="8">
        <f>47.42689536*E36*F36</f>
        <v>59.947595735040004</v>
      </c>
      <c r="K36" s="8">
        <f aca="true" t="shared" si="0" ref="K36:K42">0*E36*F36</f>
        <v>0</v>
      </c>
      <c r="L36" s="8">
        <f>28.380456*E36*F36</f>
        <v>35.872896384</v>
      </c>
      <c r="M36" s="71">
        <f aca="true" t="shared" si="1" ref="M36:M42">SUM(G36:L36)</f>
        <v>175.53803963904002</v>
      </c>
      <c r="N36" s="24"/>
      <c r="O36" s="26"/>
    </row>
    <row r="37" spans="2:13" ht="48">
      <c r="B37" s="70"/>
      <c r="C37" s="23" t="s">
        <v>218</v>
      </c>
      <c r="D37" s="6" t="s">
        <v>35</v>
      </c>
      <c r="E37" s="7">
        <v>0.6</v>
      </c>
      <c r="F37" s="7">
        <v>2</v>
      </c>
      <c r="G37" s="8">
        <v>1515.91</v>
      </c>
      <c r="H37" s="8">
        <f>0*E37*F37+654.7</f>
        <v>654.7</v>
      </c>
      <c r="I37" s="8">
        <v>1800</v>
      </c>
      <c r="J37" s="8">
        <v>1237.96</v>
      </c>
      <c r="K37" s="8">
        <f t="shared" si="0"/>
        <v>0</v>
      </c>
      <c r="L37" s="8">
        <v>283.75</v>
      </c>
      <c r="M37" s="71">
        <f t="shared" si="1"/>
        <v>5492.32</v>
      </c>
    </row>
    <row r="38" spans="2:13" ht="54" customHeight="1">
      <c r="B38" s="70"/>
      <c r="C38" s="23" t="s">
        <v>219</v>
      </c>
      <c r="D38" s="6" t="s">
        <v>36</v>
      </c>
      <c r="E38" s="7">
        <v>0.27</v>
      </c>
      <c r="F38" s="7">
        <v>2</v>
      </c>
      <c r="G38" s="8">
        <f>10592.136*E38*F38+800</f>
        <v>6519.75344</v>
      </c>
      <c r="H38" s="8">
        <v>2225</v>
      </c>
      <c r="I38" s="8">
        <f>0*E38*F38</f>
        <v>0</v>
      </c>
      <c r="J38" s="8">
        <f>7965.286272*E38*F38+600</f>
        <v>4901.254586880001</v>
      </c>
      <c r="K38" s="8">
        <f t="shared" si="0"/>
        <v>0</v>
      </c>
      <c r="L38" s="8">
        <f>5825.6748*E38*F38-1200</f>
        <v>1945.864392</v>
      </c>
      <c r="M38" s="71">
        <f t="shared" si="1"/>
        <v>15591.87241888</v>
      </c>
    </row>
    <row r="39" spans="2:13" ht="12">
      <c r="B39" s="70"/>
      <c r="C39" s="6" t="s">
        <v>37</v>
      </c>
      <c r="D39" s="6" t="s">
        <v>38</v>
      </c>
      <c r="E39" s="7">
        <v>49.57</v>
      </c>
      <c r="F39" s="7">
        <v>2</v>
      </c>
      <c r="G39" s="8">
        <f>153.585972*E39*F39-6000</f>
        <v>9226.51326408</v>
      </c>
      <c r="H39" s="8">
        <f>0*E39*F39</f>
        <v>0</v>
      </c>
      <c r="I39" s="8">
        <f>0*E39*F39</f>
        <v>0</v>
      </c>
      <c r="J39" s="8">
        <f>115.496650944*E39*F39-9500</f>
        <v>1950.3379745881593</v>
      </c>
      <c r="K39" s="8">
        <f t="shared" si="0"/>
        <v>0</v>
      </c>
      <c r="L39" s="8">
        <f>84.4722846*E39*F39-4000</f>
        <v>4374.582295243999</v>
      </c>
      <c r="M39" s="71">
        <f t="shared" si="1"/>
        <v>15551.433533912159</v>
      </c>
    </row>
    <row r="40" spans="2:13" ht="24">
      <c r="B40" s="70"/>
      <c r="C40" s="6" t="s">
        <v>40</v>
      </c>
      <c r="D40" s="6" t="s">
        <v>39</v>
      </c>
      <c r="E40" s="7">
        <v>1.264</v>
      </c>
      <c r="F40" s="7">
        <v>2</v>
      </c>
      <c r="G40" s="8">
        <f>679.1904*E40*F40-500</f>
        <v>1216.9933311999998</v>
      </c>
      <c r="H40" s="8">
        <f>0*E40*F40</f>
        <v>0</v>
      </c>
      <c r="I40" s="8">
        <f>0*E40*F40</f>
        <v>0</v>
      </c>
      <c r="J40" s="8">
        <f>510.7511808*E40*F40</f>
        <v>1291.1789850624</v>
      </c>
      <c r="K40" s="8">
        <f t="shared" si="0"/>
        <v>0</v>
      </c>
      <c r="L40" s="8">
        <f>373.55472*E40*F40</f>
        <v>944.34633216</v>
      </c>
      <c r="M40" s="71">
        <f t="shared" si="1"/>
        <v>3452.5186484223996</v>
      </c>
    </row>
    <row r="41" spans="2:13" ht="48">
      <c r="B41" s="70"/>
      <c r="C41" s="23" t="s">
        <v>220</v>
      </c>
      <c r="D41" s="6" t="s">
        <v>41</v>
      </c>
      <c r="E41" s="7">
        <v>1</v>
      </c>
      <c r="F41" s="7">
        <v>2</v>
      </c>
      <c r="G41" s="8">
        <f>646.848*E41*F41+2700</f>
        <v>3993.696</v>
      </c>
      <c r="H41" s="8">
        <v>2314.49</v>
      </c>
      <c r="I41" s="8">
        <f>0*E41*F41</f>
        <v>0</v>
      </c>
      <c r="J41" s="8">
        <f>486.429696*E41*F41+1320</f>
        <v>2292.859392</v>
      </c>
      <c r="K41" s="8">
        <f t="shared" si="0"/>
        <v>0</v>
      </c>
      <c r="L41" s="8">
        <f>355.7664*E41*F41</f>
        <v>711.5328</v>
      </c>
      <c r="M41" s="71">
        <f t="shared" si="1"/>
        <v>9312.578192</v>
      </c>
    </row>
    <row r="42" spans="2:13" ht="24">
      <c r="B42" s="70"/>
      <c r="C42" s="6" t="s">
        <v>42</v>
      </c>
      <c r="D42" s="6" t="s">
        <v>43</v>
      </c>
      <c r="E42" s="7">
        <v>51.29</v>
      </c>
      <c r="F42" s="7">
        <v>1</v>
      </c>
      <c r="G42" s="8">
        <f>153.587886*E42*F42-2000</f>
        <v>5877.52267294</v>
      </c>
      <c r="H42" s="8">
        <f>9.605*E42*F42</f>
        <v>492.64045</v>
      </c>
      <c r="I42" s="8">
        <f>0*E42*F42</f>
        <v>0</v>
      </c>
      <c r="J42" s="8">
        <f>115.498090272*E42*F42-1000</f>
        <v>4923.897050050879</v>
      </c>
      <c r="K42" s="8">
        <f t="shared" si="0"/>
        <v>0</v>
      </c>
      <c r="L42" s="8">
        <f>84.4733373*E42*F42-1000</f>
        <v>3332.637470117</v>
      </c>
      <c r="M42" s="71">
        <f t="shared" si="1"/>
        <v>14626.69764310788</v>
      </c>
    </row>
    <row r="43" spans="2:13" ht="60.75" customHeight="1">
      <c r="B43" s="70"/>
      <c r="C43" s="6" t="s">
        <v>238</v>
      </c>
      <c r="D43" s="6" t="s">
        <v>44</v>
      </c>
      <c r="E43" s="7">
        <v>2</v>
      </c>
      <c r="F43" s="7">
        <v>12</v>
      </c>
      <c r="G43" s="8">
        <v>945.18</v>
      </c>
      <c r="H43" s="8">
        <v>0</v>
      </c>
      <c r="I43" s="8">
        <v>0</v>
      </c>
      <c r="J43" s="8">
        <v>710.78</v>
      </c>
      <c r="K43" s="8">
        <v>0</v>
      </c>
      <c r="L43" s="8">
        <v>425</v>
      </c>
      <c r="M43" s="71">
        <v>2081.29</v>
      </c>
    </row>
    <row r="44" spans="2:15" ht="15">
      <c r="B44" s="76" t="s">
        <v>209</v>
      </c>
      <c r="C44" s="41"/>
      <c r="D44" s="41"/>
      <c r="E44" s="41"/>
      <c r="F44" s="41"/>
      <c r="G44" s="42"/>
      <c r="H44" s="42"/>
      <c r="I44" s="42"/>
      <c r="J44" s="42"/>
      <c r="K44" s="42"/>
      <c r="L44" s="42"/>
      <c r="M44" s="79"/>
      <c r="N44" s="24"/>
      <c r="O44" s="26"/>
    </row>
    <row r="45" spans="2:13" ht="60">
      <c r="B45" s="70"/>
      <c r="C45" s="23" t="s">
        <v>221</v>
      </c>
      <c r="D45" s="6" t="s">
        <v>41</v>
      </c>
      <c r="E45" s="7">
        <v>1</v>
      </c>
      <c r="F45" s="27">
        <v>365</v>
      </c>
      <c r="G45" s="28">
        <v>5642.88</v>
      </c>
      <c r="H45" s="28">
        <f>0*E45*F45</f>
        <v>0</v>
      </c>
      <c r="I45" s="28">
        <f>0*E45*F45</f>
        <v>0</v>
      </c>
      <c r="J45" s="28">
        <f>G45*45%</f>
        <v>2539.2960000000003</v>
      </c>
      <c r="K45" s="28">
        <f>0*E45*F45</f>
        <v>0</v>
      </c>
      <c r="L45" s="28">
        <f>G45*20%</f>
        <v>1128.576</v>
      </c>
      <c r="M45" s="72">
        <f>SUM(G45:L45)</f>
        <v>9310.752</v>
      </c>
    </row>
    <row r="46" spans="2:15" ht="15">
      <c r="B46" s="76" t="s">
        <v>210</v>
      </c>
      <c r="C46" s="41"/>
      <c r="D46" s="41"/>
      <c r="E46" s="41"/>
      <c r="F46" s="41"/>
      <c r="G46" s="43"/>
      <c r="H46" s="43"/>
      <c r="I46" s="43"/>
      <c r="J46" s="43"/>
      <c r="K46" s="43"/>
      <c r="L46" s="43"/>
      <c r="M46" s="80"/>
      <c r="N46" s="25"/>
      <c r="O46" s="26"/>
    </row>
    <row r="47" spans="2:13" ht="12">
      <c r="B47" s="70"/>
      <c r="C47" s="23" t="s">
        <v>239</v>
      </c>
      <c r="D47" s="23" t="s">
        <v>240</v>
      </c>
      <c r="E47" s="7">
        <v>4.734</v>
      </c>
      <c r="F47" s="7">
        <v>2</v>
      </c>
      <c r="G47" s="8">
        <f>56.307219510372*E47*F47</f>
        <v>533.1167543242021</v>
      </c>
      <c r="H47" s="8">
        <f>0.183571172892*E47*F47+1.12+340</f>
        <v>342.85805186494144</v>
      </c>
      <c r="I47" s="8">
        <f>0*E47*F47</f>
        <v>0</v>
      </c>
      <c r="J47" s="8">
        <f>42.3430290718*E47*F47</f>
        <v>400.90379925180235</v>
      </c>
      <c r="K47" s="8">
        <f>0*E47*F47</f>
        <v>0</v>
      </c>
      <c r="L47" s="8">
        <f>25.338248779667*E47*F47</f>
        <v>239.90253944588716</v>
      </c>
      <c r="M47" s="71">
        <f>SUM(G47:L47)</f>
        <v>1516.781144886833</v>
      </c>
    </row>
    <row r="48" spans="2:13" ht="24">
      <c r="B48" s="70"/>
      <c r="C48" s="6" t="s">
        <v>45</v>
      </c>
      <c r="D48" s="6" t="s">
        <v>46</v>
      </c>
      <c r="E48" s="7">
        <v>0.267</v>
      </c>
      <c r="F48" s="7">
        <v>78</v>
      </c>
      <c r="G48" s="8">
        <f>246.6108*E48*F48</f>
        <v>5135.9165208</v>
      </c>
      <c r="H48" s="8">
        <f>4.525965*E48*F48</f>
        <v>94.25774709000001</v>
      </c>
      <c r="I48" s="8">
        <f aca="true" t="shared" si="2" ref="I48:I55">0*E48*F48</f>
        <v>0</v>
      </c>
      <c r="J48" s="8">
        <f>185.4513216*E48*F48-500</f>
        <v>3362.2092236416006</v>
      </c>
      <c r="K48" s="8">
        <f aca="true" t="shared" si="3" ref="K48:K55">0*E48*F48</f>
        <v>0</v>
      </c>
      <c r="L48" s="8">
        <f>135.63594*E48*F48-500</f>
        <v>2324.7540864400003</v>
      </c>
      <c r="M48" s="71">
        <f aca="true" t="shared" si="4" ref="M48:M55">SUM(G48:L48)</f>
        <v>10917.1375779716</v>
      </c>
    </row>
    <row r="49" spans="2:13" ht="12">
      <c r="B49" s="70"/>
      <c r="C49" s="6" t="s">
        <v>47</v>
      </c>
      <c r="D49" s="6" t="s">
        <v>48</v>
      </c>
      <c r="E49" s="7">
        <v>0.03</v>
      </c>
      <c r="F49" s="7">
        <v>52</v>
      </c>
      <c r="G49" s="8">
        <f>1071.342*E49*F49</f>
        <v>1671.2935200000002</v>
      </c>
      <c r="H49" s="8">
        <f>5.5728*E49*F49+15</f>
        <v>23.693568</v>
      </c>
      <c r="I49" s="8">
        <f t="shared" si="2"/>
        <v>0</v>
      </c>
      <c r="J49" s="8">
        <f>805.649184*E49*F49-100</f>
        <v>1156.81272704</v>
      </c>
      <c r="K49" s="8">
        <f t="shared" si="3"/>
        <v>0</v>
      </c>
      <c r="L49" s="8">
        <f>589.2381*E49*F49</f>
        <v>919.211436</v>
      </c>
      <c r="M49" s="71">
        <f t="shared" si="4"/>
        <v>3771.01125104</v>
      </c>
    </row>
    <row r="50" spans="2:13" ht="36">
      <c r="B50" s="70"/>
      <c r="C50" s="6" t="s">
        <v>49</v>
      </c>
      <c r="D50" s="6" t="s">
        <v>50</v>
      </c>
      <c r="E50" s="7">
        <v>0.027</v>
      </c>
      <c r="F50" s="7">
        <v>52</v>
      </c>
      <c r="G50" s="8">
        <f>3817.7508*E50*F50</f>
        <v>5360.1221232</v>
      </c>
      <c r="H50" s="8">
        <f>72.813921*E50*F50</f>
        <v>102.23074508399999</v>
      </c>
      <c r="I50" s="8">
        <f t="shared" si="2"/>
        <v>0</v>
      </c>
      <c r="J50" s="8">
        <f>2870.9486016*E50*F50-500</f>
        <v>3530.8118366463996</v>
      </c>
      <c r="K50" s="8">
        <f t="shared" si="3"/>
        <v>0</v>
      </c>
      <c r="L50" s="8">
        <f>2099.76294*E50*F50</f>
        <v>2948.0671677600003</v>
      </c>
      <c r="M50" s="71">
        <f t="shared" si="4"/>
        <v>11941.2318726904</v>
      </c>
    </row>
    <row r="51" spans="2:13" ht="36">
      <c r="B51" s="70"/>
      <c r="C51" s="6" t="s">
        <v>51</v>
      </c>
      <c r="D51" s="6" t="s">
        <v>50</v>
      </c>
      <c r="E51" s="7">
        <v>0.027</v>
      </c>
      <c r="F51" s="7">
        <v>6</v>
      </c>
      <c r="G51" s="8">
        <f>16619.9508*E51*F51</f>
        <v>2692.4320295999996</v>
      </c>
      <c r="H51" s="8">
        <f>258.31476*E51*F51</f>
        <v>41.84699112</v>
      </c>
      <c r="I51" s="8">
        <f t="shared" si="2"/>
        <v>0</v>
      </c>
      <c r="J51" s="8">
        <f>12498.2030016*E51*F51-200</f>
        <v>1824.7088862592002</v>
      </c>
      <c r="K51" s="8">
        <f t="shared" si="3"/>
        <v>0</v>
      </c>
      <c r="L51" s="8">
        <f>9140.97294*E51*F51-37.03</f>
        <v>1443.8076162799998</v>
      </c>
      <c r="M51" s="71">
        <f t="shared" si="4"/>
        <v>6002.795523259199</v>
      </c>
    </row>
    <row r="52" spans="2:13" ht="24">
      <c r="B52" s="70"/>
      <c r="C52" s="6" t="s">
        <v>52</v>
      </c>
      <c r="D52" s="6" t="s">
        <v>15</v>
      </c>
      <c r="E52" s="7">
        <v>0.135</v>
      </c>
      <c r="F52" s="7">
        <v>52</v>
      </c>
      <c r="G52" s="8">
        <f>185.9688*E52*F52</f>
        <v>1305.500976</v>
      </c>
      <c r="H52" s="8">
        <f>0.72664797*E52*F52</f>
        <v>5.1010687494</v>
      </c>
      <c r="I52" s="8">
        <f t="shared" si="2"/>
        <v>0</v>
      </c>
      <c r="J52" s="8">
        <f>139.8485376*E52*F52</f>
        <v>981.7367339519999</v>
      </c>
      <c r="K52" s="8">
        <f t="shared" si="3"/>
        <v>0</v>
      </c>
      <c r="L52" s="8">
        <f>102.28284*E52*F52</f>
        <v>718.0255368</v>
      </c>
      <c r="M52" s="71">
        <f t="shared" si="4"/>
        <v>3010.3643155013997</v>
      </c>
    </row>
    <row r="53" spans="2:13" ht="24">
      <c r="B53" s="70"/>
      <c r="C53" s="6" t="s">
        <v>53</v>
      </c>
      <c r="D53" s="6" t="s">
        <v>15</v>
      </c>
      <c r="E53" s="7">
        <v>0.135</v>
      </c>
      <c r="F53" s="7">
        <v>52</v>
      </c>
      <c r="G53" s="8">
        <f>34.3638*E53*F53</f>
        <v>241.233876</v>
      </c>
      <c r="H53" s="8">
        <f>0.3472164*E53*F53</f>
        <v>2.437459128</v>
      </c>
      <c r="I53" s="8">
        <f t="shared" si="2"/>
        <v>0</v>
      </c>
      <c r="J53" s="8">
        <f>25.8415776*E53*F53</f>
        <v>181.407874752</v>
      </c>
      <c r="K53" s="8">
        <f t="shared" si="3"/>
        <v>0</v>
      </c>
      <c r="L53" s="8">
        <f>18.90009*E53*F53</f>
        <v>132.6786318</v>
      </c>
      <c r="M53" s="71">
        <f t="shared" si="4"/>
        <v>557.75784168</v>
      </c>
    </row>
    <row r="54" spans="2:13" ht="12">
      <c r="B54" s="70"/>
      <c r="C54" s="6" t="s">
        <v>54</v>
      </c>
      <c r="D54" s="6" t="s">
        <v>15</v>
      </c>
      <c r="E54" s="7">
        <v>0.046</v>
      </c>
      <c r="F54" s="7">
        <v>26</v>
      </c>
      <c r="G54" s="8">
        <f>808.56*E54*F54</f>
        <v>967.0377599999999</v>
      </c>
      <c r="H54" s="8">
        <f>2.58546702*E54*F54</f>
        <v>3.0922185559199997</v>
      </c>
      <c r="I54" s="8">
        <f t="shared" si="2"/>
        <v>0</v>
      </c>
      <c r="J54" s="8">
        <f>608.03712*E54*F54</f>
        <v>727.2123955199999</v>
      </c>
      <c r="K54" s="8">
        <f t="shared" si="3"/>
        <v>0</v>
      </c>
      <c r="L54" s="8">
        <f>444.708*E54*F54</f>
        <v>531.870768</v>
      </c>
      <c r="M54" s="71">
        <f t="shared" si="4"/>
        <v>2229.2131420759197</v>
      </c>
    </row>
    <row r="55" spans="2:13" ht="12">
      <c r="B55" s="70"/>
      <c r="C55" s="6" t="s">
        <v>55</v>
      </c>
      <c r="D55" s="6" t="s">
        <v>56</v>
      </c>
      <c r="E55" s="7">
        <v>0.046</v>
      </c>
      <c r="F55" s="7">
        <v>52</v>
      </c>
      <c r="G55" s="8">
        <f>327.4668*E55*F55</f>
        <v>783.3005856</v>
      </c>
      <c r="H55" s="8">
        <f>1.48608*E55*F55</f>
        <v>3.5547033600000004</v>
      </c>
      <c r="I55" s="8">
        <f t="shared" si="2"/>
        <v>0</v>
      </c>
      <c r="J55" s="8">
        <f>246.2550336*E55*F55</f>
        <v>589.0420403712</v>
      </c>
      <c r="K55" s="8">
        <f t="shared" si="3"/>
        <v>0</v>
      </c>
      <c r="L55" s="8">
        <f>180.10674*E55*F55</f>
        <v>430.81532208</v>
      </c>
      <c r="M55" s="71">
        <f t="shared" si="4"/>
        <v>1806.7126514111999</v>
      </c>
    </row>
    <row r="56" spans="2:15" ht="36.75" thickBot="1">
      <c r="B56" s="70"/>
      <c r="C56" s="81" t="s">
        <v>222</v>
      </c>
      <c r="D56" s="23" t="s">
        <v>223</v>
      </c>
      <c r="E56" s="7">
        <v>1.264</v>
      </c>
      <c r="F56" s="31">
        <v>52</v>
      </c>
      <c r="G56" s="32">
        <f>1264*2.42*12</f>
        <v>36706.56</v>
      </c>
      <c r="H56" s="32">
        <v>0</v>
      </c>
      <c r="I56" s="32">
        <v>0</v>
      </c>
      <c r="J56" s="32">
        <v>0</v>
      </c>
      <c r="K56" s="32">
        <v>0</v>
      </c>
      <c r="L56" s="32">
        <f>G56*2%+100</f>
        <v>834.1311999999999</v>
      </c>
      <c r="M56" s="82">
        <f>SUM(G56:L56)</f>
        <v>37540.6912</v>
      </c>
      <c r="N56" s="24"/>
      <c r="O56" s="26"/>
    </row>
    <row r="57" spans="2:15" ht="12.75" thickBot="1">
      <c r="B57" s="83" t="s">
        <v>57</v>
      </c>
      <c r="C57" s="84"/>
      <c r="D57" s="84"/>
      <c r="E57" s="84"/>
      <c r="F57" s="84"/>
      <c r="G57" s="85">
        <f aca="true" t="shared" si="5" ref="G57:L57">SUM(G7:G56)</f>
        <v>130596.86662380419</v>
      </c>
      <c r="H57" s="85">
        <f t="shared" si="5"/>
        <v>37652.66505926104</v>
      </c>
      <c r="I57" s="85">
        <f t="shared" si="5"/>
        <v>1800</v>
      </c>
      <c r="J57" s="85">
        <f t="shared" si="5"/>
        <v>48702.48792610575</v>
      </c>
      <c r="K57" s="85">
        <f t="shared" si="5"/>
        <v>0</v>
      </c>
      <c r="L57" s="85">
        <f t="shared" si="5"/>
        <v>35036.1877328957</v>
      </c>
      <c r="M57" s="86">
        <f>SUM(M6:M56)</f>
        <v>253788.53734206667</v>
      </c>
      <c r="O57" s="26"/>
    </row>
    <row r="58" ht="12">
      <c r="M58" s="24"/>
    </row>
    <row r="59" spans="7:13" ht="12">
      <c r="G59" s="24">
        <f>SUM(G48:G55)</f>
        <v>18156.837391199995</v>
      </c>
      <c r="H59" s="24"/>
      <c r="I59" s="24"/>
      <c r="J59" s="24">
        <f>SUM(J48:J55)</f>
        <v>12353.941718182401</v>
      </c>
      <c r="K59" s="24">
        <f>SUM(G59:J59)</f>
        <v>30510.779109382398</v>
      </c>
      <c r="M59" s="24"/>
    </row>
    <row r="61" spans="4:11" ht="19.5">
      <c r="D61" s="45" t="s">
        <v>58</v>
      </c>
      <c r="E61" s="45"/>
      <c r="F61" s="45"/>
      <c r="G61" s="45"/>
      <c r="H61" s="45"/>
      <c r="I61" s="45"/>
      <c r="J61" s="45"/>
      <c r="K61" s="45"/>
    </row>
    <row r="62" spans="4:11" ht="15">
      <c r="D62" s="12" t="s">
        <v>59</v>
      </c>
      <c r="E62" s="44">
        <f>G57</f>
        <v>130596.86662380419</v>
      </c>
      <c r="F62" s="44"/>
      <c r="G62" s="11"/>
      <c r="H62" s="11"/>
      <c r="I62" s="12" t="s">
        <v>60</v>
      </c>
      <c r="J62" s="44">
        <f>J57</f>
        <v>48702.48792610575</v>
      </c>
      <c r="K62" s="44"/>
    </row>
    <row r="63" spans="4:11" ht="15">
      <c r="D63" s="12" t="s">
        <v>61</v>
      </c>
      <c r="E63" s="44">
        <f>H57</f>
        <v>37652.66505926104</v>
      </c>
      <c r="F63" s="44"/>
      <c r="G63" s="11"/>
      <c r="H63" s="11"/>
      <c r="I63" s="12" t="s">
        <v>62</v>
      </c>
      <c r="J63" s="44">
        <f>K57</f>
        <v>0</v>
      </c>
      <c r="K63" s="44"/>
    </row>
    <row r="64" spans="4:11" ht="15">
      <c r="D64" s="12" t="s">
        <v>63</v>
      </c>
      <c r="E64" s="44">
        <f>I57</f>
        <v>1800</v>
      </c>
      <c r="F64" s="44"/>
      <c r="G64" s="11"/>
      <c r="H64" s="11"/>
      <c r="I64" s="12" t="s">
        <v>64</v>
      </c>
      <c r="J64" s="44">
        <f>L57</f>
        <v>35036.1877328957</v>
      </c>
      <c r="K64" s="44"/>
    </row>
    <row r="65" spans="4:11" ht="15">
      <c r="D65" s="12"/>
      <c r="E65" s="11"/>
      <c r="F65" s="11"/>
      <c r="G65" s="11"/>
      <c r="H65" s="11"/>
      <c r="I65" s="12" t="s">
        <v>65</v>
      </c>
      <c r="J65" s="44">
        <f>M57</f>
        <v>253788.53734206667</v>
      </c>
      <c r="K65" s="44"/>
    </row>
    <row r="66" spans="8:11" ht="15">
      <c r="H66" s="37" t="s">
        <v>211</v>
      </c>
      <c r="I66" s="37"/>
      <c r="J66" s="37"/>
      <c r="K66" s="20">
        <v>1263.5</v>
      </c>
    </row>
    <row r="67" spans="8:11" ht="15.75">
      <c r="H67" s="37" t="s">
        <v>212</v>
      </c>
      <c r="I67" s="37"/>
      <c r="J67" s="37"/>
      <c r="K67" s="36">
        <f>J65/K66/12</f>
        <v>16.738460449945038</v>
      </c>
    </row>
    <row r="69" spans="2:6" ht="12.75">
      <c r="B69" s="21" t="s">
        <v>213</v>
      </c>
      <c r="C69" s="21"/>
      <c r="D69" s="21"/>
      <c r="E69" s="21"/>
      <c r="F69" s="21" t="s">
        <v>214</v>
      </c>
    </row>
    <row r="70" spans="2:6" ht="12.75">
      <c r="B70" s="21"/>
      <c r="C70" s="21"/>
      <c r="D70" s="21"/>
      <c r="E70" s="21"/>
      <c r="F70" s="21"/>
    </row>
    <row r="71" spans="1:12" ht="12.75">
      <c r="A71" s="38" t="s">
        <v>235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0" ht="33" customHeight="1">
      <c r="B72" s="38" t="s">
        <v>236</v>
      </c>
      <c r="C72" s="38"/>
      <c r="D72" s="38"/>
      <c r="E72" s="38"/>
      <c r="F72" s="38"/>
      <c r="G72" s="38"/>
      <c r="H72" s="38"/>
      <c r="I72" s="38"/>
      <c r="J72" s="38"/>
    </row>
    <row r="73" spans="2:10" ht="12.75">
      <c r="B73" s="39" t="s">
        <v>224</v>
      </c>
      <c r="C73" s="39"/>
      <c r="D73" s="39"/>
      <c r="E73" s="39"/>
      <c r="F73" s="39"/>
      <c r="G73" s="39"/>
      <c r="H73" s="39"/>
      <c r="I73" s="39"/>
      <c r="J73" s="22"/>
    </row>
  </sheetData>
  <sheetProtection formatCells="0" formatColumns="0" formatRows="0" insertColumns="0" insertRows="0" insertHyperlinks="0" deleteColumns="0" deleteRows="0" sort="0" autoFilter="0" pivotTables="0"/>
  <mergeCells count="33">
    <mergeCell ref="N2:N3"/>
    <mergeCell ref="O2:O3"/>
    <mergeCell ref="B15:M15"/>
    <mergeCell ref="B18:M18"/>
    <mergeCell ref="B23:M23"/>
    <mergeCell ref="B26:M26"/>
    <mergeCell ref="B11:M11"/>
    <mergeCell ref="J65:K65"/>
    <mergeCell ref="B4:M4"/>
    <mergeCell ref="B5:M5"/>
    <mergeCell ref="B13:M13"/>
    <mergeCell ref="J62:K62"/>
    <mergeCell ref="B22:M22"/>
    <mergeCell ref="E64:F64"/>
    <mergeCell ref="J64:K64"/>
    <mergeCell ref="B28:M28"/>
    <mergeCell ref="E63:F63"/>
    <mergeCell ref="J63:K63"/>
    <mergeCell ref="B1:M1"/>
    <mergeCell ref="B2:M2"/>
    <mergeCell ref="B57:F57"/>
    <mergeCell ref="D61:K61"/>
    <mergeCell ref="E62:F62"/>
    <mergeCell ref="H67:J67"/>
    <mergeCell ref="B72:J72"/>
    <mergeCell ref="B73:I73"/>
    <mergeCell ref="B31:M31"/>
    <mergeCell ref="B33:M33"/>
    <mergeCell ref="B35:M35"/>
    <mergeCell ref="B44:M44"/>
    <mergeCell ref="B46:M46"/>
    <mergeCell ref="A71:L71"/>
    <mergeCell ref="H66:J66"/>
  </mergeCells>
  <printOptions/>
  <pageMargins left="0.35" right="0.35" top="0.35" bottom="0.35" header="0.3" footer="0.3"/>
  <pageSetup fitToHeight="1" fitToWidth="1" horizontalDpi="600" verticalDpi="600" orientation="portrait" paperSize="9" scale="48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B1">
      <selection activeCell="B119" sqref="B119:G11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4" t="s">
        <v>66</v>
      </c>
      <c r="C1" s="54"/>
      <c r="D1" s="54"/>
      <c r="E1" s="54"/>
      <c r="F1" s="54"/>
      <c r="G1" s="54"/>
    </row>
    <row r="3" spans="1:7" ht="27">
      <c r="A3" s="1"/>
      <c r="B3" s="2" t="s">
        <v>0</v>
      </c>
      <c r="C3" s="2" t="s">
        <v>67</v>
      </c>
      <c r="D3" s="3" t="s">
        <v>68</v>
      </c>
      <c r="E3" s="3" t="s">
        <v>3</v>
      </c>
      <c r="F3" s="3" t="s">
        <v>69</v>
      </c>
      <c r="G3" s="4" t="s">
        <v>11</v>
      </c>
    </row>
    <row r="4" spans="2:7" ht="15">
      <c r="B4" s="53" t="s">
        <v>70</v>
      </c>
      <c r="C4" s="53"/>
      <c r="D4" s="53"/>
      <c r="E4" s="53"/>
      <c r="F4" s="53"/>
      <c r="G4" s="53"/>
    </row>
    <row r="5" spans="2:7" ht="12">
      <c r="B5" s="13">
        <v>1</v>
      </c>
      <c r="C5" s="14" t="s">
        <v>71</v>
      </c>
      <c r="D5" s="14" t="s">
        <v>72</v>
      </c>
      <c r="E5" s="15">
        <v>134.73462</v>
      </c>
      <c r="F5" s="16">
        <v>134.76</v>
      </c>
      <c r="G5" s="19">
        <f aca="true" t="shared" si="0" ref="G5:G32">E5*F5</f>
        <v>18156.8373912</v>
      </c>
    </row>
    <row r="6" spans="2:7" ht="12">
      <c r="B6" s="5">
        <v>2</v>
      </c>
      <c r="C6" s="6" t="s">
        <v>73</v>
      </c>
      <c r="D6" s="6" t="s">
        <v>72</v>
      </c>
      <c r="E6" s="17">
        <v>3.77454</v>
      </c>
      <c r="F6" s="8">
        <v>161.712</v>
      </c>
      <c r="G6" s="9">
        <f t="shared" si="0"/>
        <v>610.3884124799999</v>
      </c>
    </row>
    <row r="7" spans="2:7" ht="12">
      <c r="B7" s="5">
        <v>3</v>
      </c>
      <c r="C7" s="6" t="s">
        <v>74</v>
      </c>
      <c r="D7" s="6" t="s">
        <v>72</v>
      </c>
      <c r="E7" s="17">
        <v>19.35</v>
      </c>
      <c r="F7" s="8">
        <v>146.8884</v>
      </c>
      <c r="G7" s="9">
        <f t="shared" si="0"/>
        <v>2842.29054</v>
      </c>
    </row>
    <row r="8" spans="2:7" ht="12">
      <c r="B8" s="5">
        <v>4</v>
      </c>
      <c r="C8" s="6" t="s">
        <v>75</v>
      </c>
      <c r="D8" s="6" t="s">
        <v>72</v>
      </c>
      <c r="E8" s="17">
        <v>19.35</v>
      </c>
      <c r="F8" s="18">
        <v>0.01</v>
      </c>
      <c r="G8" s="9">
        <f t="shared" si="0"/>
        <v>0.1935</v>
      </c>
    </row>
    <row r="9" spans="2:7" ht="12">
      <c r="B9" s="5">
        <v>5</v>
      </c>
      <c r="C9" s="6" t="s">
        <v>76</v>
      </c>
      <c r="D9" s="6" t="s">
        <v>72</v>
      </c>
      <c r="E9" s="17">
        <v>0.468</v>
      </c>
      <c r="F9" s="8">
        <v>161.712</v>
      </c>
      <c r="G9" s="9">
        <f t="shared" si="0"/>
        <v>75.681216</v>
      </c>
    </row>
    <row r="10" spans="2:7" ht="12">
      <c r="B10" s="5">
        <v>6</v>
      </c>
      <c r="C10" s="6" t="s">
        <v>77</v>
      </c>
      <c r="D10" s="6" t="s">
        <v>72</v>
      </c>
      <c r="E10" s="17">
        <v>0.2936</v>
      </c>
      <c r="F10" s="18">
        <v>0.01</v>
      </c>
      <c r="G10" s="9">
        <f t="shared" si="0"/>
        <v>0.0029360000000000002</v>
      </c>
    </row>
    <row r="11" spans="2:7" ht="12">
      <c r="B11" s="5">
        <v>7</v>
      </c>
      <c r="C11" s="6" t="s">
        <v>78</v>
      </c>
      <c r="D11" s="6" t="s">
        <v>72</v>
      </c>
      <c r="E11" s="17">
        <v>2.6424</v>
      </c>
      <c r="F11" s="8">
        <v>190.0116</v>
      </c>
      <c r="G11" s="9">
        <f t="shared" si="0"/>
        <v>502.08665183999994</v>
      </c>
    </row>
    <row r="12" spans="2:7" ht="24">
      <c r="B12" s="5">
        <v>8</v>
      </c>
      <c r="C12" s="6" t="s">
        <v>79</v>
      </c>
      <c r="D12" s="6" t="s">
        <v>72</v>
      </c>
      <c r="E12" s="17">
        <v>2.548</v>
      </c>
      <c r="F12" s="8">
        <v>146.8884</v>
      </c>
      <c r="G12" s="9">
        <f t="shared" si="0"/>
        <v>374.27164319999997</v>
      </c>
    </row>
    <row r="13" spans="2:7" ht="24">
      <c r="B13" s="5">
        <v>9</v>
      </c>
      <c r="C13" s="6" t="s">
        <v>80</v>
      </c>
      <c r="D13" s="6" t="s">
        <v>72</v>
      </c>
      <c r="E13" s="17">
        <v>2.548</v>
      </c>
      <c r="F13" s="8">
        <v>161.712</v>
      </c>
      <c r="G13" s="9">
        <f t="shared" si="0"/>
        <v>412.042176</v>
      </c>
    </row>
    <row r="14" spans="2:7" ht="24">
      <c r="B14" s="5">
        <v>10</v>
      </c>
      <c r="C14" s="6" t="s">
        <v>81</v>
      </c>
      <c r="D14" s="6" t="s">
        <v>72</v>
      </c>
      <c r="E14" s="17">
        <v>3.12</v>
      </c>
      <c r="F14" s="8">
        <v>176.5356</v>
      </c>
      <c r="G14" s="9">
        <f t="shared" si="0"/>
        <v>550.791072</v>
      </c>
    </row>
    <row r="15" spans="2:7" ht="12">
      <c r="B15" s="5">
        <v>11</v>
      </c>
      <c r="C15" s="6" t="s">
        <v>82</v>
      </c>
      <c r="D15" s="6" t="s">
        <v>72</v>
      </c>
      <c r="E15" s="17">
        <v>20.700325</v>
      </c>
      <c r="F15" s="8">
        <v>146.8884</v>
      </c>
      <c r="G15" s="9">
        <f t="shared" si="0"/>
        <v>3040.6376187299998</v>
      </c>
    </row>
    <row r="16" spans="2:7" ht="12">
      <c r="B16" s="5">
        <v>12</v>
      </c>
      <c r="C16" s="6" t="s">
        <v>83</v>
      </c>
      <c r="D16" s="6" t="s">
        <v>72</v>
      </c>
      <c r="E16" s="17">
        <v>9.019</v>
      </c>
      <c r="F16" s="18">
        <v>0.01</v>
      </c>
      <c r="G16" s="9">
        <f t="shared" si="0"/>
        <v>0.09019</v>
      </c>
    </row>
    <row r="17" spans="2:7" ht="12">
      <c r="B17" s="5">
        <v>13</v>
      </c>
      <c r="C17" s="6" t="s">
        <v>84</v>
      </c>
      <c r="D17" s="6" t="s">
        <v>72</v>
      </c>
      <c r="E17" s="17">
        <v>12.271175</v>
      </c>
      <c r="F17" s="8">
        <v>176.5356</v>
      </c>
      <c r="G17" s="9">
        <f t="shared" si="0"/>
        <v>2166.29924133</v>
      </c>
    </row>
    <row r="18" spans="2:7" ht="12">
      <c r="B18" s="5">
        <v>14</v>
      </c>
      <c r="C18" s="6" t="s">
        <v>85</v>
      </c>
      <c r="D18" s="6" t="s">
        <v>72</v>
      </c>
      <c r="E18" s="17">
        <v>4.12</v>
      </c>
      <c r="F18" s="8">
        <v>161.712</v>
      </c>
      <c r="G18" s="9">
        <f t="shared" si="0"/>
        <v>666.25344</v>
      </c>
    </row>
    <row r="19" spans="2:7" ht="12">
      <c r="B19" s="5">
        <v>15</v>
      </c>
      <c r="C19" s="6" t="s">
        <v>86</v>
      </c>
      <c r="D19" s="6" t="s">
        <v>72</v>
      </c>
      <c r="E19" s="17">
        <v>1.58</v>
      </c>
      <c r="F19" s="8">
        <v>176.5356</v>
      </c>
      <c r="G19" s="9">
        <f t="shared" si="0"/>
        <v>278.926248</v>
      </c>
    </row>
    <row r="20" spans="2:7" ht="24">
      <c r="B20" s="5">
        <v>16</v>
      </c>
      <c r="C20" s="6" t="s">
        <v>87</v>
      </c>
      <c r="D20" s="6" t="s">
        <v>72</v>
      </c>
      <c r="E20" s="17">
        <v>3.62939997</v>
      </c>
      <c r="F20" s="8">
        <v>146.8884</v>
      </c>
      <c r="G20" s="9">
        <f t="shared" si="0"/>
        <v>533.116754553348</v>
      </c>
    </row>
    <row r="21" spans="2:7" ht="24">
      <c r="B21" s="5">
        <v>17</v>
      </c>
      <c r="C21" s="6" t="s">
        <v>88</v>
      </c>
      <c r="D21" s="6" t="s">
        <v>72</v>
      </c>
      <c r="E21" s="17">
        <v>0</v>
      </c>
      <c r="F21" s="8">
        <v>161.712</v>
      </c>
      <c r="G21" s="9">
        <f t="shared" si="0"/>
        <v>0</v>
      </c>
    </row>
    <row r="22" spans="2:7" ht="12">
      <c r="B22" s="5">
        <v>18</v>
      </c>
      <c r="C22" s="6" t="s">
        <v>89</v>
      </c>
      <c r="D22" s="6" t="s">
        <v>72</v>
      </c>
      <c r="E22" s="17">
        <v>14</v>
      </c>
      <c r="F22" s="8">
        <v>176.5356</v>
      </c>
      <c r="G22" s="9">
        <f t="shared" si="0"/>
        <v>2471.4984</v>
      </c>
    </row>
    <row r="23" spans="2:7" ht="24">
      <c r="B23" s="5">
        <v>19</v>
      </c>
      <c r="C23" s="6" t="s">
        <v>90</v>
      </c>
      <c r="D23" s="6" t="s">
        <v>72</v>
      </c>
      <c r="E23" s="17">
        <v>0</v>
      </c>
      <c r="F23" s="8">
        <v>146.8884</v>
      </c>
      <c r="G23" s="9">
        <f t="shared" si="0"/>
        <v>0</v>
      </c>
    </row>
    <row r="24" spans="2:7" ht="24">
      <c r="B24" s="5">
        <v>20</v>
      </c>
      <c r="C24" s="6" t="s">
        <v>91</v>
      </c>
      <c r="D24" s="6" t="s">
        <v>72</v>
      </c>
      <c r="E24" s="17">
        <v>2.50272</v>
      </c>
      <c r="F24" s="8">
        <v>176.5356</v>
      </c>
      <c r="G24" s="9">
        <f t="shared" si="0"/>
        <v>441.819176832</v>
      </c>
    </row>
    <row r="25" spans="2:7" ht="12">
      <c r="B25" s="5">
        <v>21</v>
      </c>
      <c r="C25" s="6" t="s">
        <v>92</v>
      </c>
      <c r="D25" s="6" t="s">
        <v>72</v>
      </c>
      <c r="E25" s="17">
        <v>25.2352</v>
      </c>
      <c r="F25" s="8">
        <v>161.712</v>
      </c>
      <c r="G25" s="9">
        <f t="shared" si="0"/>
        <v>4080.8346623999996</v>
      </c>
    </row>
    <row r="26" spans="2:7" ht="12">
      <c r="B26" s="5">
        <v>22</v>
      </c>
      <c r="C26" s="6" t="s">
        <v>93</v>
      </c>
      <c r="D26" s="6" t="s">
        <v>72</v>
      </c>
      <c r="E26" s="17">
        <v>11.1</v>
      </c>
      <c r="F26" s="8">
        <v>146.8884</v>
      </c>
      <c r="G26" s="9">
        <f t="shared" si="0"/>
        <v>1630.4612399999999</v>
      </c>
    </row>
    <row r="27" spans="2:7" ht="12">
      <c r="B27" s="5">
        <v>23</v>
      </c>
      <c r="C27" s="6" t="s">
        <v>94</v>
      </c>
      <c r="D27" s="6" t="s">
        <v>72</v>
      </c>
      <c r="E27" s="17">
        <v>80.45515</v>
      </c>
      <c r="F27" s="18">
        <v>176.54</v>
      </c>
      <c r="G27" s="9">
        <f t="shared" si="0"/>
        <v>14203.552181</v>
      </c>
    </row>
    <row r="28" spans="2:7" ht="12">
      <c r="B28" s="5">
        <v>24</v>
      </c>
      <c r="C28" s="6" t="s">
        <v>95</v>
      </c>
      <c r="D28" s="6" t="s">
        <v>72</v>
      </c>
      <c r="E28" s="17">
        <v>159.78439</v>
      </c>
      <c r="F28" s="8">
        <v>176.5356</v>
      </c>
      <c r="G28" s="9">
        <f t="shared" si="0"/>
        <v>28207.633159284</v>
      </c>
    </row>
    <row r="29" spans="2:7" ht="12">
      <c r="B29" s="5">
        <v>25</v>
      </c>
      <c r="C29" s="6" t="s">
        <v>96</v>
      </c>
      <c r="D29" s="6" t="s">
        <v>72</v>
      </c>
      <c r="E29" s="17">
        <v>8.832</v>
      </c>
      <c r="F29" s="8">
        <v>190.0116</v>
      </c>
      <c r="G29" s="9">
        <f t="shared" si="0"/>
        <v>1678.1824512</v>
      </c>
    </row>
    <row r="30" spans="2:7" ht="24">
      <c r="B30" s="5">
        <v>26</v>
      </c>
      <c r="C30" s="6" t="s">
        <v>97</v>
      </c>
      <c r="D30" s="6" t="s">
        <v>98</v>
      </c>
      <c r="E30" s="17">
        <v>2.50272</v>
      </c>
      <c r="F30" s="8">
        <v>190.0116</v>
      </c>
      <c r="G30" s="9">
        <f t="shared" si="0"/>
        <v>475.545831552</v>
      </c>
    </row>
    <row r="31" spans="2:7" ht="24">
      <c r="B31" s="5">
        <v>27</v>
      </c>
      <c r="C31" s="6" t="s">
        <v>99</v>
      </c>
      <c r="D31" s="6" t="s">
        <v>72</v>
      </c>
      <c r="E31" s="17">
        <v>4.26</v>
      </c>
      <c r="F31" s="18">
        <v>161.71</v>
      </c>
      <c r="G31" s="9">
        <f t="shared" si="0"/>
        <v>688.8846</v>
      </c>
    </row>
    <row r="32" spans="2:7" ht="24">
      <c r="B32" s="5">
        <v>28</v>
      </c>
      <c r="C32" s="6" t="s">
        <v>100</v>
      </c>
      <c r="D32" s="6" t="s">
        <v>72</v>
      </c>
      <c r="E32" s="17">
        <v>2.50272</v>
      </c>
      <c r="F32" s="8">
        <v>176.5356</v>
      </c>
      <c r="G32" s="9">
        <f t="shared" si="0"/>
        <v>441.819176832</v>
      </c>
    </row>
    <row r="33" spans="2:7" ht="12">
      <c r="B33" s="50" t="s">
        <v>57</v>
      </c>
      <c r="C33" s="51"/>
      <c r="D33" s="51"/>
      <c r="E33" s="51"/>
      <c r="F33" s="52"/>
      <c r="G33" s="10">
        <f>SUM(G5:G32)</f>
        <v>84530.13991043334</v>
      </c>
    </row>
    <row r="34" spans="2:7" ht="15">
      <c r="B34" s="53" t="s">
        <v>101</v>
      </c>
      <c r="C34" s="53"/>
      <c r="D34" s="53"/>
      <c r="E34" s="53"/>
      <c r="F34" s="53"/>
      <c r="G34" s="53"/>
    </row>
    <row r="35" spans="2:7" ht="12">
      <c r="B35" s="13">
        <v>29</v>
      </c>
      <c r="C35" s="14" t="s">
        <v>102</v>
      </c>
      <c r="D35" s="14" t="s">
        <v>103</v>
      </c>
      <c r="E35" s="15">
        <v>0.0168</v>
      </c>
      <c r="F35" s="16">
        <v>437.4003</v>
      </c>
      <c r="G35" s="19">
        <f aca="true" t="shared" si="1" ref="G35:G66">E35*F35</f>
        <v>7.34832504</v>
      </c>
    </row>
    <row r="36" spans="2:7" ht="12">
      <c r="B36" s="5">
        <v>30</v>
      </c>
      <c r="C36" s="6" t="s">
        <v>104</v>
      </c>
      <c r="D36" s="6" t="s">
        <v>105</v>
      </c>
      <c r="E36" s="17">
        <v>0.0070755</v>
      </c>
      <c r="F36" s="8">
        <v>51532.2621</v>
      </c>
      <c r="G36" s="9">
        <f t="shared" si="1"/>
        <v>364.61652048855</v>
      </c>
    </row>
    <row r="37" spans="2:7" ht="24">
      <c r="B37" s="5">
        <v>31</v>
      </c>
      <c r="C37" s="6" t="s">
        <v>106</v>
      </c>
      <c r="D37" s="6" t="s">
        <v>105</v>
      </c>
      <c r="E37" s="17">
        <v>0.009</v>
      </c>
      <c r="F37" s="8">
        <v>69661.4319</v>
      </c>
      <c r="G37" s="9">
        <f t="shared" si="1"/>
        <v>626.9528870999999</v>
      </c>
    </row>
    <row r="38" spans="2:7" ht="24">
      <c r="B38" s="5">
        <v>32</v>
      </c>
      <c r="C38" s="6" t="s">
        <v>107</v>
      </c>
      <c r="D38" s="6" t="s">
        <v>108</v>
      </c>
      <c r="E38" s="17">
        <v>2</v>
      </c>
      <c r="F38" s="8">
        <v>4341.4692000000005</v>
      </c>
      <c r="G38" s="9">
        <f t="shared" si="1"/>
        <v>8682.938400000001</v>
      </c>
    </row>
    <row r="39" spans="2:7" ht="12">
      <c r="B39" s="5">
        <v>33</v>
      </c>
      <c r="C39" s="6" t="s">
        <v>109</v>
      </c>
      <c r="D39" s="6" t="s">
        <v>105</v>
      </c>
      <c r="E39" s="17">
        <v>0.00038</v>
      </c>
      <c r="F39" s="8">
        <v>110646.396</v>
      </c>
      <c r="G39" s="9">
        <f t="shared" si="1"/>
        <v>42.04563048</v>
      </c>
    </row>
    <row r="40" spans="2:7" ht="12">
      <c r="B40" s="5">
        <v>34</v>
      </c>
      <c r="C40" s="6" t="s">
        <v>110</v>
      </c>
      <c r="D40" s="6" t="s">
        <v>111</v>
      </c>
      <c r="E40" s="17">
        <v>0.500632</v>
      </c>
      <c r="F40" s="8">
        <v>22.4847</v>
      </c>
      <c r="G40" s="9">
        <f t="shared" si="1"/>
        <v>11.2565603304</v>
      </c>
    </row>
    <row r="41" spans="2:7" ht="12">
      <c r="B41" s="5">
        <v>35</v>
      </c>
      <c r="C41" s="6" t="s">
        <v>112</v>
      </c>
      <c r="D41" s="6" t="s">
        <v>103</v>
      </c>
      <c r="E41" s="17">
        <v>30.325</v>
      </c>
      <c r="F41" s="18">
        <v>19.21</v>
      </c>
      <c r="G41" s="9">
        <f t="shared" si="1"/>
        <v>582.5432500000001</v>
      </c>
    </row>
    <row r="42" spans="2:7" ht="12">
      <c r="B42" s="5">
        <v>36</v>
      </c>
      <c r="C42" s="6" t="s">
        <v>113</v>
      </c>
      <c r="D42" s="6" t="s">
        <v>105</v>
      </c>
      <c r="E42" s="17">
        <v>0.000156</v>
      </c>
      <c r="F42" s="8">
        <v>46738.970400000006</v>
      </c>
      <c r="G42" s="9">
        <f t="shared" si="1"/>
        <v>7.291279382400001</v>
      </c>
    </row>
    <row r="43" spans="2:7" ht="12">
      <c r="B43" s="5">
        <v>37</v>
      </c>
      <c r="C43" s="6" t="s">
        <v>114</v>
      </c>
      <c r="D43" s="6" t="s">
        <v>111</v>
      </c>
      <c r="E43" s="17">
        <v>1.71226</v>
      </c>
      <c r="F43" s="8">
        <v>56.760000000000005</v>
      </c>
      <c r="G43" s="9">
        <f t="shared" si="1"/>
        <v>97.18787760000001</v>
      </c>
    </row>
    <row r="44" spans="2:7" ht="24">
      <c r="B44" s="5">
        <v>38</v>
      </c>
      <c r="C44" s="6" t="s">
        <v>115</v>
      </c>
      <c r="D44" s="6" t="s">
        <v>116</v>
      </c>
      <c r="E44" s="17">
        <v>0.0208</v>
      </c>
      <c r="F44" s="8">
        <v>13302.905700000001</v>
      </c>
      <c r="G44" s="9">
        <f t="shared" si="1"/>
        <v>276.70043856</v>
      </c>
    </row>
    <row r="45" spans="2:7" ht="12">
      <c r="B45" s="5">
        <v>39</v>
      </c>
      <c r="C45" s="6" t="s">
        <v>117</v>
      </c>
      <c r="D45" s="6" t="s">
        <v>118</v>
      </c>
      <c r="E45" s="17">
        <v>0.608</v>
      </c>
      <c r="F45" s="8">
        <v>22.188</v>
      </c>
      <c r="G45" s="9">
        <f t="shared" si="1"/>
        <v>13.490303999999998</v>
      </c>
    </row>
    <row r="46" spans="2:7" ht="12">
      <c r="B46" s="5">
        <v>40</v>
      </c>
      <c r="C46" s="6" t="s">
        <v>119</v>
      </c>
      <c r="D46" s="6" t="s">
        <v>105</v>
      </c>
      <c r="E46" s="17">
        <v>0.0026124</v>
      </c>
      <c r="F46" s="8">
        <v>2714.6760000000004</v>
      </c>
      <c r="G46" s="9">
        <f t="shared" si="1"/>
        <v>7.091819582400001</v>
      </c>
    </row>
    <row r="47" spans="2:7" ht="12">
      <c r="B47" s="5">
        <v>41</v>
      </c>
      <c r="C47" s="6" t="s">
        <v>120</v>
      </c>
      <c r="D47" s="6" t="s">
        <v>111</v>
      </c>
      <c r="E47" s="17">
        <v>0.208</v>
      </c>
      <c r="F47" s="8">
        <v>13.3644</v>
      </c>
      <c r="G47" s="9">
        <f t="shared" si="1"/>
        <v>2.7797951999999997</v>
      </c>
    </row>
    <row r="48" spans="2:7" ht="12">
      <c r="B48" s="5">
        <v>42</v>
      </c>
      <c r="C48" s="6" t="s">
        <v>121</v>
      </c>
      <c r="D48" s="6" t="s">
        <v>105</v>
      </c>
      <c r="E48" s="17">
        <v>0.001</v>
      </c>
      <c r="F48" s="8">
        <v>57123.3285</v>
      </c>
      <c r="G48" s="9">
        <f t="shared" si="1"/>
        <v>57.12332850000001</v>
      </c>
    </row>
    <row r="49" spans="2:7" ht="12">
      <c r="B49" s="5">
        <v>43</v>
      </c>
      <c r="C49" s="6" t="s">
        <v>122</v>
      </c>
      <c r="D49" s="6" t="s">
        <v>103</v>
      </c>
      <c r="E49" s="17">
        <v>0.0384</v>
      </c>
      <c r="F49" s="8">
        <v>64.1259</v>
      </c>
      <c r="G49" s="9">
        <f t="shared" si="1"/>
        <v>2.4624345599999997</v>
      </c>
    </row>
    <row r="50" spans="2:7" ht="12">
      <c r="B50" s="5">
        <v>44</v>
      </c>
      <c r="C50" s="6" t="s">
        <v>123</v>
      </c>
      <c r="D50" s="6" t="s">
        <v>108</v>
      </c>
      <c r="E50" s="17">
        <v>0.8</v>
      </c>
      <c r="F50" s="8">
        <v>595.8639000000001</v>
      </c>
      <c r="G50" s="9">
        <f t="shared" si="1"/>
        <v>476.69112000000007</v>
      </c>
    </row>
    <row r="51" spans="2:7" ht="24">
      <c r="B51" s="5">
        <v>45</v>
      </c>
      <c r="C51" s="6" t="s">
        <v>124</v>
      </c>
      <c r="D51" s="6" t="s">
        <v>108</v>
      </c>
      <c r="E51" s="17">
        <v>1</v>
      </c>
      <c r="F51" s="8">
        <v>170.0091</v>
      </c>
      <c r="G51" s="9">
        <f t="shared" si="1"/>
        <v>170.0091</v>
      </c>
    </row>
    <row r="52" spans="2:7" ht="12">
      <c r="B52" s="5">
        <v>46</v>
      </c>
      <c r="C52" s="6" t="s">
        <v>125</v>
      </c>
      <c r="D52" s="6" t="s">
        <v>105</v>
      </c>
      <c r="E52" s="17">
        <v>8.7E-05</v>
      </c>
      <c r="F52" s="8">
        <v>43616.202900000004</v>
      </c>
      <c r="G52" s="9">
        <f t="shared" si="1"/>
        <v>3.7946096523000006</v>
      </c>
    </row>
    <row r="53" spans="2:7" ht="12">
      <c r="B53" s="5">
        <v>47</v>
      </c>
      <c r="C53" s="6" t="s">
        <v>126</v>
      </c>
      <c r="D53" s="6" t="s">
        <v>105</v>
      </c>
      <c r="E53" s="17">
        <v>0.0017378</v>
      </c>
      <c r="F53" s="8">
        <v>69742.66320000001</v>
      </c>
      <c r="G53" s="9">
        <f t="shared" si="1"/>
        <v>121.19880010896003</v>
      </c>
    </row>
    <row r="54" spans="2:7" ht="12">
      <c r="B54" s="5">
        <v>48</v>
      </c>
      <c r="C54" s="6" t="s">
        <v>127</v>
      </c>
      <c r="D54" s="6" t="s">
        <v>105</v>
      </c>
      <c r="E54" s="17">
        <v>0.0004</v>
      </c>
      <c r="F54" s="18">
        <v>0.01</v>
      </c>
      <c r="G54" s="9">
        <f t="shared" si="1"/>
        <v>4.000000000000001E-06</v>
      </c>
    </row>
    <row r="55" spans="2:7" ht="24">
      <c r="B55" s="5">
        <v>49</v>
      </c>
      <c r="C55" s="6" t="s">
        <v>128</v>
      </c>
      <c r="D55" s="6" t="s">
        <v>105</v>
      </c>
      <c r="E55" s="17">
        <v>0</v>
      </c>
      <c r="F55" s="8">
        <v>65606.2524</v>
      </c>
      <c r="G55" s="9">
        <f t="shared" si="1"/>
        <v>0</v>
      </c>
    </row>
    <row r="56" spans="2:7" ht="12">
      <c r="B56" s="5">
        <v>50</v>
      </c>
      <c r="C56" s="6" t="s">
        <v>129</v>
      </c>
      <c r="D56" s="6" t="s">
        <v>105</v>
      </c>
      <c r="E56" s="17">
        <v>0.00116314</v>
      </c>
      <c r="F56" s="8">
        <v>43306.7319</v>
      </c>
      <c r="G56" s="9">
        <f t="shared" si="1"/>
        <v>50.371792142166</v>
      </c>
    </row>
    <row r="57" spans="2:7" ht="12">
      <c r="B57" s="5">
        <v>51</v>
      </c>
      <c r="C57" s="6" t="s">
        <v>130</v>
      </c>
      <c r="D57" s="6" t="s">
        <v>111</v>
      </c>
      <c r="E57" s="17">
        <v>3.0475</v>
      </c>
      <c r="F57" s="8">
        <v>49.8843</v>
      </c>
      <c r="G57" s="9">
        <f t="shared" si="1"/>
        <v>152.02240425</v>
      </c>
    </row>
    <row r="58" spans="2:7" ht="12">
      <c r="B58" s="5">
        <v>52</v>
      </c>
      <c r="C58" s="6" t="s">
        <v>131</v>
      </c>
      <c r="D58" s="6" t="s">
        <v>105</v>
      </c>
      <c r="E58" s="17">
        <v>5.94E-05</v>
      </c>
      <c r="F58" s="8">
        <v>112377.6792</v>
      </c>
      <c r="G58" s="9">
        <f t="shared" si="1"/>
        <v>6.67523414448</v>
      </c>
    </row>
    <row r="59" spans="2:7" ht="12">
      <c r="B59" s="5">
        <v>53</v>
      </c>
      <c r="C59" s="6" t="s">
        <v>132</v>
      </c>
      <c r="D59" s="6" t="s">
        <v>118</v>
      </c>
      <c r="E59" s="17">
        <v>6</v>
      </c>
      <c r="F59" s="8">
        <v>201.0078</v>
      </c>
      <c r="G59" s="9">
        <f t="shared" si="1"/>
        <v>1206.0468</v>
      </c>
    </row>
    <row r="60" spans="2:7" ht="36">
      <c r="B60" s="5">
        <v>54</v>
      </c>
      <c r="C60" s="6" t="s">
        <v>133</v>
      </c>
      <c r="D60" s="6" t="s">
        <v>105</v>
      </c>
      <c r="E60" s="17">
        <v>0.0102</v>
      </c>
      <c r="F60" s="8">
        <v>33865.3896</v>
      </c>
      <c r="G60" s="9">
        <f t="shared" si="1"/>
        <v>345.42697392</v>
      </c>
    </row>
    <row r="61" spans="2:7" ht="12">
      <c r="B61" s="5">
        <v>55</v>
      </c>
      <c r="C61" s="6" t="s">
        <v>134</v>
      </c>
      <c r="D61" s="6" t="s">
        <v>111</v>
      </c>
      <c r="E61" s="17">
        <v>0.04</v>
      </c>
      <c r="F61" s="8">
        <v>790.0088999999999</v>
      </c>
      <c r="G61" s="9">
        <f t="shared" si="1"/>
        <v>31.600355999999998</v>
      </c>
    </row>
    <row r="62" spans="2:7" ht="24">
      <c r="B62" s="5">
        <v>56</v>
      </c>
      <c r="C62" s="6" t="s">
        <v>135</v>
      </c>
      <c r="D62" s="6" t="s">
        <v>136</v>
      </c>
      <c r="E62" s="17">
        <v>14.04</v>
      </c>
      <c r="F62" s="8">
        <v>115.5969</v>
      </c>
      <c r="G62" s="9">
        <f t="shared" si="1"/>
        <v>1622.980476</v>
      </c>
    </row>
    <row r="63" spans="2:7" ht="12">
      <c r="B63" s="5">
        <v>57</v>
      </c>
      <c r="C63" s="6" t="s">
        <v>137</v>
      </c>
      <c r="D63" s="6" t="s">
        <v>138</v>
      </c>
      <c r="E63" s="17">
        <v>1</v>
      </c>
      <c r="F63" s="18">
        <v>0.01</v>
      </c>
      <c r="G63" s="9">
        <f t="shared" si="1"/>
        <v>0.01</v>
      </c>
    </row>
    <row r="64" spans="2:7" ht="12">
      <c r="B64" s="5">
        <v>58</v>
      </c>
      <c r="C64" s="6" t="s">
        <v>139</v>
      </c>
      <c r="D64" s="6" t="s">
        <v>111</v>
      </c>
      <c r="E64" s="17">
        <v>2.09</v>
      </c>
      <c r="F64" s="8">
        <v>209.00580000000002</v>
      </c>
      <c r="G64" s="9">
        <f t="shared" si="1"/>
        <v>436.82212200000004</v>
      </c>
    </row>
    <row r="65" spans="2:7" ht="24">
      <c r="B65" s="5">
        <v>59</v>
      </c>
      <c r="C65" s="6" t="s">
        <v>140</v>
      </c>
      <c r="D65" s="6" t="s">
        <v>103</v>
      </c>
      <c r="E65" s="17">
        <v>0.01995</v>
      </c>
      <c r="F65" s="8">
        <v>2532.4248</v>
      </c>
      <c r="G65" s="9">
        <f t="shared" si="1"/>
        <v>50.521874759999996</v>
      </c>
    </row>
    <row r="66" spans="2:7" ht="12">
      <c r="B66" s="5">
        <v>60</v>
      </c>
      <c r="C66" s="6" t="s">
        <v>141</v>
      </c>
      <c r="D66" s="6" t="s">
        <v>105</v>
      </c>
      <c r="E66" s="17">
        <v>0.0008</v>
      </c>
      <c r="F66" s="18">
        <v>0.01</v>
      </c>
      <c r="G66" s="9">
        <f t="shared" si="1"/>
        <v>8.000000000000001E-06</v>
      </c>
    </row>
    <row r="67" spans="2:7" ht="12">
      <c r="B67" s="5">
        <v>61</v>
      </c>
      <c r="C67" s="6" t="s">
        <v>142</v>
      </c>
      <c r="D67" s="6" t="s">
        <v>108</v>
      </c>
      <c r="E67" s="17">
        <v>9.685</v>
      </c>
      <c r="F67" s="8">
        <v>3.7152</v>
      </c>
      <c r="G67" s="9">
        <f aca="true" t="shared" si="2" ref="G67:G98">E67*F67</f>
        <v>35.981712</v>
      </c>
    </row>
    <row r="68" spans="2:7" ht="12">
      <c r="B68" s="5">
        <v>62</v>
      </c>
      <c r="C68" s="6" t="s">
        <v>143</v>
      </c>
      <c r="D68" s="6" t="s">
        <v>111</v>
      </c>
      <c r="E68" s="17">
        <v>0.3421</v>
      </c>
      <c r="F68" s="8">
        <v>37.6035</v>
      </c>
      <c r="G68" s="9">
        <f t="shared" si="2"/>
        <v>12.86415735</v>
      </c>
    </row>
    <row r="69" spans="2:7" ht="12">
      <c r="B69" s="5">
        <v>63</v>
      </c>
      <c r="C69" s="6" t="s">
        <v>144</v>
      </c>
      <c r="D69" s="6" t="s">
        <v>105</v>
      </c>
      <c r="E69" s="17">
        <v>0.0004</v>
      </c>
      <c r="F69" s="8">
        <v>33255.4389</v>
      </c>
      <c r="G69" s="9">
        <f t="shared" si="2"/>
        <v>13.30217556</v>
      </c>
    </row>
    <row r="70" spans="2:7" ht="12">
      <c r="B70" s="5">
        <v>64</v>
      </c>
      <c r="C70" s="6" t="s">
        <v>145</v>
      </c>
      <c r="D70" s="6" t="s">
        <v>108</v>
      </c>
      <c r="E70" s="17">
        <v>0.8</v>
      </c>
      <c r="F70" s="8">
        <v>76.8066</v>
      </c>
      <c r="G70" s="9">
        <f t="shared" si="2"/>
        <v>61.445280000000004</v>
      </c>
    </row>
    <row r="71" spans="2:7" ht="12">
      <c r="B71" s="5">
        <v>65</v>
      </c>
      <c r="C71" s="6" t="s">
        <v>146</v>
      </c>
      <c r="D71" s="6" t="s">
        <v>105</v>
      </c>
      <c r="E71" s="17">
        <v>0.00016</v>
      </c>
      <c r="F71" s="8">
        <v>39357.9</v>
      </c>
      <c r="G71" s="9">
        <f t="shared" si="2"/>
        <v>6.297264000000001</v>
      </c>
    </row>
    <row r="72" spans="2:7" ht="12">
      <c r="B72" s="5">
        <v>66</v>
      </c>
      <c r="C72" s="6" t="s">
        <v>147</v>
      </c>
      <c r="D72" s="6" t="s">
        <v>111</v>
      </c>
      <c r="E72" s="17">
        <v>7.75983</v>
      </c>
      <c r="F72" s="8">
        <v>116.5644</v>
      </c>
      <c r="G72" s="9">
        <f t="shared" si="2"/>
        <v>904.5199280520001</v>
      </c>
    </row>
    <row r="73" spans="2:7" ht="12">
      <c r="B73" s="5">
        <v>67</v>
      </c>
      <c r="C73" s="6" t="s">
        <v>148</v>
      </c>
      <c r="D73" s="6" t="s">
        <v>111</v>
      </c>
      <c r="E73" s="17">
        <v>0.036</v>
      </c>
      <c r="F73" s="8">
        <v>64.15169999999999</v>
      </c>
      <c r="G73" s="9">
        <f t="shared" si="2"/>
        <v>2.3094611999999994</v>
      </c>
    </row>
    <row r="74" spans="2:7" ht="12">
      <c r="B74" s="5">
        <v>68</v>
      </c>
      <c r="C74" s="6" t="s">
        <v>149</v>
      </c>
      <c r="D74" s="6" t="s">
        <v>105</v>
      </c>
      <c r="E74" s="17">
        <v>0.0018</v>
      </c>
      <c r="F74" s="18">
        <v>0.01</v>
      </c>
      <c r="G74" s="9">
        <f t="shared" si="2"/>
        <v>1.8E-05</v>
      </c>
    </row>
    <row r="75" spans="2:7" ht="12">
      <c r="B75" s="5">
        <v>69</v>
      </c>
      <c r="C75" s="6" t="s">
        <v>150</v>
      </c>
      <c r="D75" s="6" t="s">
        <v>105</v>
      </c>
      <c r="E75" s="17">
        <v>0.0154256</v>
      </c>
      <c r="F75" s="8">
        <v>8059.146</v>
      </c>
      <c r="G75" s="9">
        <f t="shared" si="2"/>
        <v>124.31716253759998</v>
      </c>
    </row>
    <row r="76" spans="2:7" ht="24">
      <c r="B76" s="5">
        <v>70</v>
      </c>
      <c r="C76" s="6" t="s">
        <v>151</v>
      </c>
      <c r="D76" s="6" t="s">
        <v>103</v>
      </c>
      <c r="E76" s="17">
        <v>0.00024634</v>
      </c>
      <c r="F76" s="8">
        <v>962.0690999999999</v>
      </c>
      <c r="G76" s="9">
        <f t="shared" si="2"/>
        <v>0.236996102094</v>
      </c>
    </row>
    <row r="77" spans="2:7" ht="12">
      <c r="B77" s="5">
        <v>71</v>
      </c>
      <c r="C77" s="6" t="s">
        <v>152</v>
      </c>
      <c r="D77" s="6" t="s">
        <v>108</v>
      </c>
      <c r="E77" s="17">
        <v>0.8</v>
      </c>
      <c r="F77" s="8">
        <v>340.76640000000003</v>
      </c>
      <c r="G77" s="9">
        <f t="shared" si="2"/>
        <v>272.61312000000004</v>
      </c>
    </row>
    <row r="78" spans="2:7" ht="12">
      <c r="B78" s="5">
        <v>72</v>
      </c>
      <c r="C78" s="6" t="s">
        <v>153</v>
      </c>
      <c r="D78" s="6" t="s">
        <v>111</v>
      </c>
      <c r="E78" s="17">
        <v>0.37474</v>
      </c>
      <c r="F78" s="8">
        <v>176.1237</v>
      </c>
      <c r="G78" s="9">
        <f t="shared" si="2"/>
        <v>66.00059533800001</v>
      </c>
    </row>
    <row r="79" spans="2:7" ht="12">
      <c r="B79" s="5">
        <v>73</v>
      </c>
      <c r="C79" s="6" t="s">
        <v>154</v>
      </c>
      <c r="D79" s="6" t="s">
        <v>105</v>
      </c>
      <c r="E79" s="17">
        <v>0.00104</v>
      </c>
      <c r="F79" s="8">
        <v>42504.8808</v>
      </c>
      <c r="G79" s="9">
        <f t="shared" si="2"/>
        <v>44.205076031999994</v>
      </c>
    </row>
    <row r="80" spans="2:7" ht="24">
      <c r="B80" s="5">
        <v>74</v>
      </c>
      <c r="C80" s="6" t="s">
        <v>155</v>
      </c>
      <c r="D80" s="6" t="s">
        <v>111</v>
      </c>
      <c r="E80" s="17">
        <v>0.52</v>
      </c>
      <c r="F80" s="8">
        <v>79.24470000000001</v>
      </c>
      <c r="G80" s="9">
        <f t="shared" si="2"/>
        <v>41.207244</v>
      </c>
    </row>
    <row r="81" spans="2:7" ht="12">
      <c r="B81" s="5">
        <v>75</v>
      </c>
      <c r="C81" s="6" t="s">
        <v>156</v>
      </c>
      <c r="D81" s="6" t="s">
        <v>108</v>
      </c>
      <c r="E81" s="17">
        <v>52</v>
      </c>
      <c r="F81" s="8">
        <v>2.7606</v>
      </c>
      <c r="G81" s="9">
        <f t="shared" si="2"/>
        <v>143.5512</v>
      </c>
    </row>
    <row r="82" spans="2:7" ht="12">
      <c r="B82" s="5">
        <v>76</v>
      </c>
      <c r="C82" s="6" t="s">
        <v>157</v>
      </c>
      <c r="D82" s="6" t="s">
        <v>103</v>
      </c>
      <c r="E82" s="17">
        <v>1.52</v>
      </c>
      <c r="F82" s="8">
        <v>3547.1775000000002</v>
      </c>
      <c r="G82" s="9">
        <f t="shared" si="2"/>
        <v>5391.7098000000005</v>
      </c>
    </row>
    <row r="83" spans="2:7" ht="12">
      <c r="B83" s="5">
        <v>77</v>
      </c>
      <c r="C83" s="6" t="s">
        <v>158</v>
      </c>
      <c r="D83" s="6" t="s">
        <v>111</v>
      </c>
      <c r="E83" s="17">
        <v>3.6</v>
      </c>
      <c r="F83" s="8">
        <v>96.6855</v>
      </c>
      <c r="G83" s="9">
        <f t="shared" si="2"/>
        <v>348.06780000000003</v>
      </c>
    </row>
    <row r="84" spans="2:7" ht="12">
      <c r="B84" s="5">
        <v>78</v>
      </c>
      <c r="C84" s="6" t="s">
        <v>159</v>
      </c>
      <c r="D84" s="6" t="s">
        <v>108</v>
      </c>
      <c r="E84" s="17">
        <v>10</v>
      </c>
      <c r="F84" s="8">
        <v>41.8476</v>
      </c>
      <c r="G84" s="9">
        <f t="shared" si="2"/>
        <v>418.476</v>
      </c>
    </row>
    <row r="85" spans="2:7" ht="12">
      <c r="B85" s="5">
        <v>79</v>
      </c>
      <c r="C85" s="6" t="s">
        <v>160</v>
      </c>
      <c r="D85" s="6" t="s">
        <v>136</v>
      </c>
      <c r="E85" s="17">
        <v>2.6</v>
      </c>
      <c r="F85" s="8">
        <v>167.7387</v>
      </c>
      <c r="G85" s="9">
        <f t="shared" si="2"/>
        <v>436.12062</v>
      </c>
    </row>
    <row r="86" spans="2:7" ht="12">
      <c r="B86" s="5">
        <v>80</v>
      </c>
      <c r="C86" s="6" t="s">
        <v>161</v>
      </c>
      <c r="D86" s="6" t="s">
        <v>108</v>
      </c>
      <c r="E86" s="17">
        <v>6.4</v>
      </c>
      <c r="F86" s="8">
        <v>455.66670000000005</v>
      </c>
      <c r="G86" s="9">
        <f t="shared" si="2"/>
        <v>2916.2668800000006</v>
      </c>
    </row>
    <row r="87" spans="2:7" ht="24">
      <c r="B87" s="5">
        <v>81</v>
      </c>
      <c r="C87" s="6" t="s">
        <v>162</v>
      </c>
      <c r="D87" s="6" t="s">
        <v>138</v>
      </c>
      <c r="E87" s="17">
        <v>1</v>
      </c>
      <c r="F87" s="18">
        <v>0.01</v>
      </c>
      <c r="G87" s="9">
        <f t="shared" si="2"/>
        <v>0.01</v>
      </c>
    </row>
    <row r="88" spans="2:7" ht="12">
      <c r="B88" s="5">
        <v>82</v>
      </c>
      <c r="C88" s="6" t="s">
        <v>163</v>
      </c>
      <c r="D88" s="6" t="s">
        <v>136</v>
      </c>
      <c r="E88" s="17">
        <v>4</v>
      </c>
      <c r="F88" s="8">
        <v>56.0118</v>
      </c>
      <c r="G88" s="9">
        <f t="shared" si="2"/>
        <v>224.0472</v>
      </c>
    </row>
    <row r="89" spans="2:7" ht="36">
      <c r="B89" s="5">
        <v>83</v>
      </c>
      <c r="C89" s="6" t="s">
        <v>164</v>
      </c>
      <c r="D89" s="6" t="s">
        <v>105</v>
      </c>
      <c r="E89" s="17">
        <v>0.022</v>
      </c>
      <c r="F89" s="18">
        <v>0.01</v>
      </c>
      <c r="G89" s="9">
        <f t="shared" si="2"/>
        <v>0.00021999999999999998</v>
      </c>
    </row>
    <row r="90" spans="2:7" ht="12">
      <c r="B90" s="5">
        <v>84</v>
      </c>
      <c r="C90" s="6" t="s">
        <v>165</v>
      </c>
      <c r="D90" s="6" t="s">
        <v>108</v>
      </c>
      <c r="E90" s="17">
        <v>0.4</v>
      </c>
      <c r="F90" s="8">
        <v>293.733</v>
      </c>
      <c r="G90" s="9">
        <f t="shared" si="2"/>
        <v>117.4932</v>
      </c>
    </row>
    <row r="91" spans="2:7" ht="12">
      <c r="B91" s="5">
        <v>85</v>
      </c>
      <c r="C91" s="6" t="s">
        <v>166</v>
      </c>
      <c r="D91" s="6" t="s">
        <v>167</v>
      </c>
      <c r="E91" s="17">
        <v>1.04</v>
      </c>
      <c r="F91" s="8">
        <v>32.8821</v>
      </c>
      <c r="G91" s="9">
        <f t="shared" si="2"/>
        <v>34.197384</v>
      </c>
    </row>
    <row r="92" spans="2:7" ht="12">
      <c r="B92" s="5">
        <v>86</v>
      </c>
      <c r="C92" s="6" t="s">
        <v>168</v>
      </c>
      <c r="D92" s="6" t="s">
        <v>169</v>
      </c>
      <c r="E92" s="17">
        <v>7.824</v>
      </c>
      <c r="F92" s="8">
        <v>193.5129</v>
      </c>
      <c r="G92" s="9">
        <f t="shared" si="2"/>
        <v>1514.0449296</v>
      </c>
    </row>
    <row r="93" spans="2:7" ht="12">
      <c r="B93" s="5">
        <v>87</v>
      </c>
      <c r="C93" s="6" t="s">
        <v>170</v>
      </c>
      <c r="D93" s="6" t="s">
        <v>169</v>
      </c>
      <c r="E93" s="17">
        <v>7.984</v>
      </c>
      <c r="F93" s="8">
        <v>382.2012</v>
      </c>
      <c r="G93" s="9">
        <f t="shared" si="2"/>
        <v>3051.4943808</v>
      </c>
    </row>
    <row r="94" spans="2:7" ht="12">
      <c r="B94" s="5">
        <v>88</v>
      </c>
      <c r="C94" s="6" t="s">
        <v>171</v>
      </c>
      <c r="D94" s="6" t="s">
        <v>108</v>
      </c>
      <c r="E94" s="17">
        <v>0.8</v>
      </c>
      <c r="F94" s="8">
        <v>266.5398</v>
      </c>
      <c r="G94" s="9">
        <f t="shared" si="2"/>
        <v>213.23184000000003</v>
      </c>
    </row>
    <row r="95" spans="2:7" ht="12">
      <c r="B95" s="5">
        <v>89</v>
      </c>
      <c r="C95" s="6" t="s">
        <v>172</v>
      </c>
      <c r="D95" s="6" t="s">
        <v>173</v>
      </c>
      <c r="E95" s="17">
        <v>0.0136</v>
      </c>
      <c r="F95" s="8">
        <v>84124.4088</v>
      </c>
      <c r="G95" s="9">
        <f t="shared" si="2"/>
        <v>1144.09195968</v>
      </c>
    </row>
    <row r="96" spans="2:7" ht="24">
      <c r="B96" s="5">
        <v>90</v>
      </c>
      <c r="C96" s="6" t="s">
        <v>174</v>
      </c>
      <c r="D96" s="6" t="s">
        <v>108</v>
      </c>
      <c r="E96" s="17">
        <v>4</v>
      </c>
      <c r="F96" s="8">
        <v>19.5306</v>
      </c>
      <c r="G96" s="9">
        <f t="shared" si="2"/>
        <v>78.1224</v>
      </c>
    </row>
    <row r="97" spans="2:7" ht="12">
      <c r="B97" s="5">
        <v>91</v>
      </c>
      <c r="C97" s="6" t="s">
        <v>175</v>
      </c>
      <c r="D97" s="6" t="s">
        <v>105</v>
      </c>
      <c r="E97" s="17">
        <v>0.00408</v>
      </c>
      <c r="F97" s="8">
        <v>25179.3423</v>
      </c>
      <c r="G97" s="9">
        <f t="shared" si="2"/>
        <v>102.73171658400001</v>
      </c>
    </row>
    <row r="98" spans="2:7" ht="12">
      <c r="B98" s="5">
        <v>92</v>
      </c>
      <c r="C98" s="6" t="s">
        <v>176</v>
      </c>
      <c r="D98" s="6" t="s">
        <v>108</v>
      </c>
      <c r="E98" s="17">
        <v>52</v>
      </c>
      <c r="F98" s="8">
        <v>31.527600000000003</v>
      </c>
      <c r="G98" s="9">
        <f t="shared" si="2"/>
        <v>1639.4352000000001</v>
      </c>
    </row>
    <row r="99" spans="2:7" ht="12">
      <c r="B99" s="5">
        <v>93</v>
      </c>
      <c r="C99" s="6" t="s">
        <v>177</v>
      </c>
      <c r="D99" s="6" t="s">
        <v>136</v>
      </c>
      <c r="E99" s="17">
        <v>0.233976</v>
      </c>
      <c r="F99" s="8">
        <v>257.742</v>
      </c>
      <c r="G99" s="9">
        <f>E99*F99</f>
        <v>60.305442192</v>
      </c>
    </row>
    <row r="100" spans="2:7" ht="12">
      <c r="B100" s="5">
        <v>94</v>
      </c>
      <c r="C100" s="6" t="s">
        <v>178</v>
      </c>
      <c r="D100" s="6" t="s">
        <v>105</v>
      </c>
      <c r="E100" s="17">
        <v>0</v>
      </c>
      <c r="F100" s="8">
        <v>16455.2142</v>
      </c>
      <c r="G100" s="9">
        <f>E100*F100</f>
        <v>0</v>
      </c>
    </row>
    <row r="101" spans="2:7" ht="12">
      <c r="B101" s="5">
        <v>95</v>
      </c>
      <c r="C101" s="6" t="s">
        <v>179</v>
      </c>
      <c r="D101" s="6" t="s">
        <v>105</v>
      </c>
      <c r="E101" s="17">
        <v>0.0075543</v>
      </c>
      <c r="F101" s="8">
        <v>14700.7497</v>
      </c>
      <c r="G101" s="9">
        <f>E101*F101</f>
        <v>111.05387345871</v>
      </c>
    </row>
    <row r="102" spans="2:7" ht="12">
      <c r="B102" s="5">
        <v>96</v>
      </c>
      <c r="C102" s="6" t="s">
        <v>180</v>
      </c>
      <c r="D102" s="6" t="s">
        <v>105</v>
      </c>
      <c r="E102" s="17">
        <v>0.0011024</v>
      </c>
      <c r="F102" s="8">
        <v>56420.317200000005</v>
      </c>
      <c r="G102" s="9">
        <f>E102*F102</f>
        <v>62.19775768128</v>
      </c>
    </row>
    <row r="103" spans="2:7" ht="12">
      <c r="B103" s="5">
        <v>97</v>
      </c>
      <c r="C103" s="6" t="s">
        <v>181</v>
      </c>
      <c r="D103" s="6" t="s">
        <v>105</v>
      </c>
      <c r="E103" s="17">
        <v>0.0008</v>
      </c>
      <c r="F103" s="18">
        <v>0.01</v>
      </c>
      <c r="G103" s="9">
        <f>E103*F103</f>
        <v>8.000000000000001E-06</v>
      </c>
    </row>
    <row r="104" spans="2:7" ht="12">
      <c r="B104" s="50" t="s">
        <v>57</v>
      </c>
      <c r="C104" s="51"/>
      <c r="D104" s="51"/>
      <c r="E104" s="51"/>
      <c r="F104" s="52"/>
      <c r="G104" s="10">
        <f>SUM(G35:G103)</f>
        <v>35047.95052796935</v>
      </c>
    </row>
    <row r="105" spans="2:7" ht="15">
      <c r="B105" s="53" t="s">
        <v>182</v>
      </c>
      <c r="C105" s="53"/>
      <c r="D105" s="53"/>
      <c r="E105" s="53"/>
      <c r="F105" s="53"/>
      <c r="G105" s="53"/>
    </row>
    <row r="106" spans="2:7" ht="12">
      <c r="B106" s="13">
        <v>98</v>
      </c>
      <c r="C106" s="14" t="s">
        <v>183</v>
      </c>
      <c r="D106" s="14" t="s">
        <v>108</v>
      </c>
      <c r="E106" s="15">
        <v>0.001833</v>
      </c>
      <c r="F106" s="16">
        <v>107.46990000000001</v>
      </c>
      <c r="G106" s="19">
        <f aca="true" t="shared" si="3" ref="G106:G114">E106*F106</f>
        <v>0.19699232670000003</v>
      </c>
    </row>
    <row r="107" spans="2:7" ht="12">
      <c r="B107" s="5">
        <v>99</v>
      </c>
      <c r="C107" s="6" t="s">
        <v>184</v>
      </c>
      <c r="D107" s="6" t="s">
        <v>108</v>
      </c>
      <c r="E107" s="17">
        <v>0.02199634</v>
      </c>
      <c r="F107" s="8">
        <v>61.3524</v>
      </c>
      <c r="G107" s="9">
        <f t="shared" si="3"/>
        <v>1.349528250216</v>
      </c>
    </row>
    <row r="108" spans="2:7" ht="12">
      <c r="B108" s="5">
        <v>100</v>
      </c>
      <c r="C108" s="6" t="s">
        <v>185</v>
      </c>
      <c r="D108" s="6" t="s">
        <v>108</v>
      </c>
      <c r="E108" s="17">
        <v>0.028862</v>
      </c>
      <c r="F108" s="8">
        <v>255.98760000000001</v>
      </c>
      <c r="G108" s="9">
        <f t="shared" si="3"/>
        <v>7.3883141112</v>
      </c>
    </row>
    <row r="109" spans="2:7" ht="12">
      <c r="B109" s="5">
        <v>101</v>
      </c>
      <c r="C109" s="6" t="s">
        <v>186</v>
      </c>
      <c r="D109" s="6" t="s">
        <v>108</v>
      </c>
      <c r="E109" s="17">
        <v>0.01404</v>
      </c>
      <c r="F109" s="8">
        <v>270.90000000000003</v>
      </c>
      <c r="G109" s="9">
        <f t="shared" si="3"/>
        <v>3.8034360000000005</v>
      </c>
    </row>
    <row r="110" spans="2:7" ht="12">
      <c r="B110" s="5">
        <v>102</v>
      </c>
      <c r="C110" s="6" t="s">
        <v>187</v>
      </c>
      <c r="D110" s="6" t="s">
        <v>108</v>
      </c>
      <c r="E110" s="17">
        <v>2.5436996</v>
      </c>
      <c r="F110" s="8">
        <v>68.2281</v>
      </c>
      <c r="G110" s="9">
        <f t="shared" si="3"/>
        <v>173.55179067876</v>
      </c>
    </row>
    <row r="111" spans="2:7" ht="12">
      <c r="B111" s="5">
        <v>103</v>
      </c>
      <c r="C111" s="6" t="s">
        <v>188</v>
      </c>
      <c r="D111" s="6" t="s">
        <v>108</v>
      </c>
      <c r="E111" s="17">
        <v>0.0148616</v>
      </c>
      <c r="F111" s="8">
        <v>187.68210000000002</v>
      </c>
      <c r="G111" s="9">
        <f t="shared" si="3"/>
        <v>2.7892562973600006</v>
      </c>
    </row>
    <row r="112" spans="2:7" ht="12">
      <c r="B112" s="5">
        <v>104</v>
      </c>
      <c r="C112" s="6" t="s">
        <v>189</v>
      </c>
      <c r="D112" s="6" t="s">
        <v>108</v>
      </c>
      <c r="E112" s="17">
        <v>0.0009165</v>
      </c>
      <c r="F112" s="8">
        <v>105.78</v>
      </c>
      <c r="G112" s="9">
        <f t="shared" si="3"/>
        <v>0.09694737</v>
      </c>
    </row>
    <row r="113" spans="2:7" ht="12">
      <c r="B113" s="5">
        <v>105</v>
      </c>
      <c r="C113" s="6" t="s">
        <v>190</v>
      </c>
      <c r="D113" s="6" t="s">
        <v>108</v>
      </c>
      <c r="E113" s="17">
        <v>0.0162</v>
      </c>
      <c r="F113" s="8">
        <v>2327.16</v>
      </c>
      <c r="G113" s="9">
        <f t="shared" si="3"/>
        <v>37.699991999999995</v>
      </c>
    </row>
    <row r="114" spans="2:7" ht="12">
      <c r="B114" s="5">
        <v>106</v>
      </c>
      <c r="C114" s="6" t="s">
        <v>191</v>
      </c>
      <c r="D114" s="6" t="s">
        <v>108</v>
      </c>
      <c r="E114" s="17">
        <v>0.001833</v>
      </c>
      <c r="F114" s="8">
        <v>51.6</v>
      </c>
      <c r="G114" s="9">
        <f t="shared" si="3"/>
        <v>0.09458280000000001</v>
      </c>
    </row>
    <row r="115" spans="2:7" ht="12">
      <c r="B115" s="50" t="s">
        <v>57</v>
      </c>
      <c r="C115" s="51"/>
      <c r="D115" s="51"/>
      <c r="E115" s="51"/>
      <c r="F115" s="52"/>
      <c r="G115" s="10">
        <f>SUM(G106:G114)</f>
        <v>226.97083983423602</v>
      </c>
    </row>
    <row r="116" spans="2:7" ht="15">
      <c r="B116" s="53" t="s">
        <v>192</v>
      </c>
      <c r="C116" s="53"/>
      <c r="D116" s="53"/>
      <c r="E116" s="53"/>
      <c r="F116" s="53"/>
      <c r="G116" s="53"/>
    </row>
    <row r="117" spans="2:7" ht="12">
      <c r="B117" s="13">
        <v>107</v>
      </c>
      <c r="C117" s="14" t="s">
        <v>193</v>
      </c>
      <c r="D117" s="14" t="s">
        <v>194</v>
      </c>
      <c r="E117" s="15">
        <v>0.573</v>
      </c>
      <c r="F117" s="16">
        <v>764.408</v>
      </c>
      <c r="G117" s="19">
        <f>E117*F117</f>
        <v>438.00578399999995</v>
      </c>
    </row>
    <row r="118" spans="2:7" ht="12">
      <c r="B118" s="5">
        <v>108</v>
      </c>
      <c r="C118" s="6" t="s">
        <v>195</v>
      </c>
      <c r="D118" s="6" t="s">
        <v>196</v>
      </c>
      <c r="E118" s="17">
        <v>0.573</v>
      </c>
      <c r="F118" s="18">
        <v>0.01</v>
      </c>
      <c r="G118" s="9">
        <f>E118*F118</f>
        <v>0.00573</v>
      </c>
    </row>
    <row r="119" spans="2:7" ht="12">
      <c r="B119" s="50" t="s">
        <v>57</v>
      </c>
      <c r="C119" s="51"/>
      <c r="D119" s="51"/>
      <c r="E119" s="51"/>
      <c r="F119" s="52"/>
      <c r="G119" s="10">
        <f>SUM(G117:G118)</f>
        <v>438.011514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15:F115"/>
    <mergeCell ref="B116:G116"/>
    <mergeCell ref="B119:F119"/>
    <mergeCell ref="B1:G1"/>
    <mergeCell ref="B4:G4"/>
    <mergeCell ref="B33:F33"/>
    <mergeCell ref="B34:G34"/>
    <mergeCell ref="B104:F104"/>
    <mergeCell ref="B105:G105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admin</cp:lastModifiedBy>
  <cp:lastPrinted>2017-09-27T02:13:04Z</cp:lastPrinted>
  <dcterms:created xsi:type="dcterms:W3CDTF">2015-02-12T09:09:43Z</dcterms:created>
  <dcterms:modified xsi:type="dcterms:W3CDTF">2017-10-30T23:52:59Z</dcterms:modified>
  <cp:category>Test result file</cp:category>
  <cp:version/>
  <cp:contentType/>
  <cp:contentStatus/>
</cp:coreProperties>
</file>