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<sst xmlns="http://schemas.openxmlformats.org/spreadsheetml/2006/main" count="367" uniqueCount="246">
  <si>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</si>
  <si>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</si>
  <si>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</si>
  <si>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</si>
  <si>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</si>
  <si>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</si>
  <si>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</si>
  <si>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</si>
  <si>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</si>
  <si>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</si>
  <si>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</si>
  <si>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</si>
  <si>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100 м2 окрашенной поверхности</t>
  </si>
  <si>
    <t>100 кв.м</t>
  </si>
  <si>
    <t>Заделка выбоин в цементных полах</t>
  </si>
  <si>
    <t>кв.м.</t>
  </si>
  <si>
    <t>Простая масляная окраска дверей</t>
  </si>
  <si>
    <t>100 кв.м.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</si>
  <si>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</si>
  <si>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</si>
  <si>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Окрашивание масляными составами торцов лестничных маршей и площадок</t>
  </si>
  <si>
    <t>Окрашивание масляными составами деревянных поручней</t>
  </si>
  <si>
    <t>100  м поручня</t>
  </si>
  <si>
    <t>1 подогреватель</t>
  </si>
  <si>
    <t>Замена внутренних водопроводов из стальных труб   на металлопластиковые, диаметром 25 мм</t>
  </si>
  <si>
    <t>100 м трубопроводов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</si>
  <si>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</si>
  <si>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Устранение засоров внутренних канализационных трубопроводов</t>
  </si>
  <si>
    <t>100 м трубы</t>
  </si>
  <si>
    <t>Визуальная проверка (осмотр) газового оборудования</t>
  </si>
  <si>
    <t>1 оборудование</t>
  </si>
  <si>
    <t>Осмотр территории вокруг здания и фундамента</t>
  </si>
  <si>
    <t>1000 кв.м. общей площади</t>
  </si>
  <si>
    <t>1000 кв.м. кровли</t>
  </si>
  <si>
    <t>100 квартир</t>
  </si>
  <si>
    <t>Промывка участка водопровода</t>
  </si>
  <si>
    <t>100 куб.м. здания</t>
  </si>
  <si>
    <t>1000 м2  площади помещений</t>
  </si>
  <si>
    <t>Проведение технических осмотров и устранение незначительных неисправностей в системе вентиляции</t>
  </si>
  <si>
    <t>1 здание</t>
  </si>
  <si>
    <t>Промывка трубопроводов системы центрального отопления</t>
  </si>
  <si>
    <t>10 м трубопровода</t>
  </si>
  <si>
    <t>1 прибор учета</t>
  </si>
  <si>
    <t>Подметание в летний период  земельного участка с усовершенствованным покрытием 1 класса</t>
  </si>
  <si>
    <t>1 000 кв.м. территории</t>
  </si>
  <si>
    <t>Очистка урн от мусора</t>
  </si>
  <si>
    <t>на 100 урн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</si>
  <si>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</si>
  <si>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</si>
  <si>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</si>
  <si>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</si>
  <si>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</si>
  <si>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</si>
  <si>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</si>
  <si>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на 100 кв.м.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</si>
  <si>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</si>
  <si>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</si>
  <si>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</si>
  <si>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</si>
  <si>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</si>
  <si>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</si>
  <si>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</si>
  <si>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</si>
  <si>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</si>
  <si>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</si>
  <si>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</si>
  <si>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</si>
  <si>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</si>
  <si>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</si>
  <si>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3 разряда</t>
  </si>
  <si>
    <t>чел.-час</t>
  </si>
  <si>
    <t>Дворник 1 разряда</t>
  </si>
  <si>
    <t>Дезинфектор 3 разряда</t>
  </si>
  <si>
    <t>Каменщик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</si>
  <si>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</si>
  <si>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</si>
  <si>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</si>
  <si>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</si>
  <si>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</si>
  <si>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Маляр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</si>
  <si>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</si>
  <si>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</si>
  <si>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</si>
  <si>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</si>
  <si>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Слесарь по контрольно-измерительным приборам и автоматике 3 разряда</t>
  </si>
  <si>
    <t>Слесарь по обслуживанию тепловых пунктов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</si>
  <si>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</si>
  <si>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</si>
  <si>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</si>
  <si>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3 разряда</t>
  </si>
  <si>
    <t>Слесарь-сантехник 4 разряда</t>
  </si>
  <si>
    <t>Слесарь-сантехник 5 разряда</t>
  </si>
  <si>
    <t>Стекольщик 2 разряда</t>
  </si>
  <si>
    <t>Стекольщик 3 разряда</t>
  </si>
  <si>
    <t>Столяр строительный 3 разряда</t>
  </si>
  <si>
    <t>Штукатур 2 разряда</t>
  </si>
  <si>
    <t>Штукатур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</si>
  <si>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</si>
  <si>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</si>
  <si>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</si>
  <si>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</si>
  <si>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</si>
  <si>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Ацетилен газообразный технический</t>
  </si>
  <si>
    <t>м3</t>
  </si>
  <si>
    <t>Белила</t>
  </si>
  <si>
    <t>т</t>
  </si>
  <si>
    <t>Болты с гайками и шайбами для санитарно-технических работ, диаметром 16 мм</t>
  </si>
  <si>
    <t>Вентили проходные муфтовые 15КЧ18Р для воды, давлением 1.6 Мпа (16 кгс/см2) диаметром 20 мм</t>
  </si>
  <si>
    <t>шт.</t>
  </si>
  <si>
    <t xml:space="preserve">Вентили проходные фланцевые 15С22НЖ для воды и пара, давлением 4 МПа (40 кгс/см2), диаметром 50 мм </t>
  </si>
  <si>
    <t>Веревка техническая из пенькового волокна</t>
  </si>
  <si>
    <t>Ветошь</t>
  </si>
  <si>
    <t>кг</t>
  </si>
  <si>
    <t>Вода водопроводная</t>
  </si>
  <si>
    <t>Гвозди строительные с плоской головкой 1,8 x 50 мм</t>
  </si>
  <si>
    <t>Гвозди строительные с плоской головкой 1,8 x60 мм</t>
  </si>
  <si>
    <t>Гипсовые вяжущие Г-3</t>
  </si>
  <si>
    <t>Готовая смесь для уничтожения насекомых (порошок Абсолют Дуст)</t>
  </si>
  <si>
    <t>Дверное полотно</t>
  </si>
  <si>
    <t>Детали к листам асбестоцементным волнистым обыкновенного профиля, коньковые К-1 и К-2</t>
  </si>
  <si>
    <t>100 пар</t>
  </si>
  <si>
    <t>Дрань штукатурная длиной 800 - 1000 мм, шириной 19 - 22 мм, толщиной 4 мм</t>
  </si>
  <si>
    <t>1000 шт.</t>
  </si>
  <si>
    <t>Дюбели-гвозди</t>
  </si>
  <si>
    <t>10 шт.</t>
  </si>
  <si>
    <t>Известь строительная негашеная комовая, сорт I</t>
  </si>
  <si>
    <t>Известь строительная негашеная хлорная марки А</t>
  </si>
  <si>
    <t>Изделия резиновые технические морозостойкие</t>
  </si>
  <si>
    <t xml:space="preserve">Керосин для технических целей марок КТ-1, КТ-2 </t>
  </si>
  <si>
    <t>Кислород технический газообразный</t>
  </si>
  <si>
    <t>Кран шаровой В-В размером 1"</t>
  </si>
  <si>
    <t>Краны регулирующие трехходовые  КРТПП, латунные диаметром 20 мм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</si>
  <si>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</si>
  <si>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</si>
  <si>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</si>
  <si>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>Краски масляные и алкидные, готовые к применению белила литопонные: МА-22</t>
  </si>
  <si>
    <t>Краски Э-ВС-17 сухие для внутренних работ</t>
  </si>
  <si>
    <t>Крепления для трубопроводов: кронштейны, планки, хомуты</t>
  </si>
  <si>
    <t>Лак  масляный</t>
  </si>
  <si>
    <t>Лампа накаливания газопольная в прозрачной колбе МО 40-60</t>
  </si>
  <si>
    <t>Лента ФУМ</t>
  </si>
  <si>
    <t>Листы асбестоцементные волнистые обыкновенного профиля толщиной 5,5 мм</t>
  </si>
  <si>
    <t>м2</t>
  </si>
  <si>
    <t xml:space="preserve">Манометры общего назначения с трехходовым краном ОБМ1-100 </t>
  </si>
  <si>
    <t>компл.</t>
  </si>
  <si>
    <t xml:space="preserve">Масса корундовая набивная марки МК-90                   </t>
  </si>
  <si>
    <t>Металлические изделия</t>
  </si>
  <si>
    <t>Мешки полиэтиленовые, 60 л</t>
  </si>
  <si>
    <t>Мыло</t>
  </si>
  <si>
    <t xml:space="preserve">Набивка сальника водяного насоса с двухслойным оплетением сердечника, квадратная, диаметром 12 мм </t>
  </si>
  <si>
    <t>Натр едкий (сода каустическая) технический марки ГР</t>
  </si>
  <si>
    <t>Ниппель размером 1</t>
  </si>
  <si>
    <t>Олифа комбинированная К-3</t>
  </si>
  <si>
    <t>Олифа натуральная</t>
  </si>
  <si>
    <t>Очес льняной</t>
  </si>
  <si>
    <t>Паронит</t>
  </si>
  <si>
    <t>Паста меловая ПМ-1</t>
  </si>
  <si>
    <t>Пемза шлаковая (щебень пористый из металлургического шлака), марка 600,фракция от 5 до 10 мм</t>
  </si>
  <si>
    <t>Переходник H-В размером 1"</t>
  </si>
  <si>
    <t>Петля накладная</t>
  </si>
  <si>
    <t>Пигмент тертый</t>
  </si>
  <si>
    <t>Поковки из квадратных заготовок массой 1,8 кг</t>
  </si>
  <si>
    <t>Поковки простые строительные (скобы, закрепы, хомуты и т.п.) массой до 1,6 кг</t>
  </si>
  <si>
    <t>Прокладки толевые уплотнительные 20 x 20 мм</t>
  </si>
  <si>
    <t>Раствор готовый кладочный цементный М100</t>
  </si>
  <si>
    <t>Раствор готовый кладочный цементный М25</t>
  </si>
  <si>
    <t>Раствор готовый кладочный цементный М400</t>
  </si>
  <si>
    <t>Раствор готовый отделочный тяжелый, цементно-известковый 1:1:6</t>
  </si>
  <si>
    <t>Резина листовая вулканизованная цветная</t>
  </si>
  <si>
    <t>Сгоны стальные с муфтой и контргайкой, диаметром 32 мм</t>
  </si>
  <si>
    <t>Сетка тканая с квадратными ячейками N 05 без покрытия</t>
  </si>
  <si>
    <t>Соединительные детали "Vestol" размером 1"</t>
  </si>
  <si>
    <t>Стекло листовое площадью до 1.0 м2, 1 группы, толщиной 3 мм марки М1</t>
  </si>
  <si>
    <t>Термометр прямой (угловой) ртутный (ножка 66 мм) до 160 град С в оправе</t>
  </si>
  <si>
    <t>Ткань хлопчатобумажная техническая</t>
  </si>
  <si>
    <t>Толстолистовой горячекатаный прокат в листах с обрезными кромками толщиной 9 - 12 мм, шириной свыше 1400 до 1500 мм, сталь С255</t>
  </si>
  <si>
    <t>Тройник размером 1"</t>
  </si>
  <si>
    <t>Трубки защитные гофрированные</t>
  </si>
  <si>
    <t>пог. м.</t>
  </si>
  <si>
    <t>Трубы металлопластиковые многослойные диаметром 25 мм</t>
  </si>
  <si>
    <t>пог. м</t>
  </si>
  <si>
    <t>Трубы чугунные канализационные длиной 2 м, диаметром 50 мм</t>
  </si>
  <si>
    <t>Угольник H-В размером 1"</t>
  </si>
  <si>
    <t>Фасонные части к чугунным трубопроводам диаметром 50 мм</t>
  </si>
  <si>
    <t>т.</t>
  </si>
  <si>
    <t>Фиксатор пластмассовый ординарный для металлополимерных труб размером 1"</t>
  </si>
  <si>
    <t>Цемент глиноземистый марки 400</t>
  </si>
  <si>
    <t>Шайбы плоские из оцинкованной стали</t>
  </si>
  <si>
    <t>Шкурка шлифовальная двухслойная с зернистостью 40-25</t>
  </si>
  <si>
    <t>Шпатлевка клеевая</t>
  </si>
  <si>
    <t>Шпатлевка масленно-клеевая</t>
  </si>
  <si>
    <t>Штапики</t>
  </si>
  <si>
    <t>Шурупы с полукруглой головкой 6 x 80 мм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</si>
  <si>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</si>
  <si>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</si>
  <si>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</si>
  <si>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</si>
  <si>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</si>
  <si>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</si>
  <si>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</si>
  <si>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</si>
  <si>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</si>
  <si>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</si>
  <si>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</si>
  <si>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c. Плодопитомник, ул. Мичурина 1</t>
  </si>
  <si>
    <t>1. КОНСТРУКТИВНЫЕ ЭЛЕМЕНТЫ</t>
  </si>
  <si>
    <t>2. ВНУТРИДОМОВОЕ ИНЖЕНЕРНОЕ ОБОРУДОВАНИЕ И ТЕХНИЧЕСКИЕ УСТРОЙСТВА</t>
  </si>
  <si>
    <t>2.1. Система теплоснабжения</t>
  </si>
  <si>
    <t>2.2 Системы холодного и горячего водоснабжения</t>
  </si>
  <si>
    <t>2.3. Система водоотведения</t>
  </si>
  <si>
    <t>2.4. Система газоснабжения (ОАО "Амургаз")</t>
  </si>
  <si>
    <t>2.5. Внутридомовое электрооборудование (ООО "Электромонтаж)</t>
  </si>
  <si>
    <t>2.6. Подготовка дома к сезонной эксплуатации, проведение технических осмотров</t>
  </si>
  <si>
    <t>3. АВАРИЙНО-ДИСПЕТЧЕРСКОЕ ОБСЛУЖИВАНИЕ</t>
  </si>
  <si>
    <t>Обслуживание электрических сетей, профилактический осмотр, замена вышедших из строя элементов электрооборудования</t>
  </si>
  <si>
    <t>Общая площадь МКД, м2</t>
  </si>
  <si>
    <t>ТАРИФ,  руб/кв.м. в мес.</t>
  </si>
  <si>
    <t>Исп.  Зам.ген.директора по ЖКХ ЗАО "Амурплодсемпром"</t>
  </si>
  <si>
    <t>И.А. Тимакова</t>
  </si>
  <si>
    <t>Уполномоченный представитель с правом подписи _________________________  Соколов Сергей Михайлович</t>
  </si>
  <si>
    <t>1.1. Кирпичные , каменные, железобетонные стены</t>
  </si>
  <si>
    <t>Проверка состояния  окон и дверей подъездов, подвалов , запорных устройств на них. Проверка целосности оконных и дверных заполнений Устранение выявленных неисправностей.</t>
  </si>
  <si>
    <t>1.2. Полы</t>
  </si>
  <si>
    <t>1.3. Оконные и дверные проёмы</t>
  </si>
  <si>
    <t xml:space="preserve"> 1.4.Лестницы</t>
  </si>
  <si>
    <t>Осмотр всех элементов кровель. Проверка кровли на отсутствие протечек, скопление снега и наледи.  Выполнение необходимых работ по устранению неисправностей</t>
  </si>
  <si>
    <t>Осмотр водопровода, канализации . Проверка исправности, работоспособности, регулировка и техническое обслуживание запорной арматуры, разводящих трубопроводов</t>
  </si>
  <si>
    <t>Регулировка и наладка систем отопления. Осмотр устройства системы центрального отопления. Проверка исправности, работоспособности, регулировка и техническое обслуживание запорной арматуры</t>
  </si>
  <si>
    <t>Круглосуточная аварийно-диспетчерская служба.Обеспечение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</si>
  <si>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4. САНИТАРНОЕ СОДЕРЖАНИЕ МЕСТ ОБЩЕГО ПОЛЬЗОВАНИЯ, УБОРКА И БЛАГОУСТРОЙСТВО ПРИДОМОВОЙ ТЕРРИТОРИИ</t>
  </si>
  <si>
    <t>Услуги по сбору и  транспортировке ТБО населения</t>
  </si>
  <si>
    <t>1000 м2  общей площади жилых помещений</t>
  </si>
  <si>
    <t>Заделка мелких неровностей, восстановление нарушенного внутреннего  штукатурного слоя стен и потолков отдельными местами, грунтование специальным раствором</t>
  </si>
  <si>
    <t>Простая масляная окраска ранее окрашенных поверхностей (стен)</t>
  </si>
  <si>
    <t>Окраска ранее окрашенных поверхностей потолков</t>
  </si>
  <si>
    <t>100 м2 отремонтированной поверхности</t>
  </si>
  <si>
    <t>Ремонт обыкновенной штукатурки   фасадов отдельными местами  сухой растворной смесью , грунтование, покраска составами для наружных работ</t>
  </si>
  <si>
    <t>Смета расходов. Список работ (услуг) по надлежащему содержанию общего имущества МКД. Расчет стоимости работ (услуг) на 2017-2018г. г.</t>
  </si>
  <si>
    <t>Техническое обслуживание ОДПУ (тепло, вода),  проверка наличия и нарушения пломб. Проверка работоспособности запорной арматуры и очистка фильтра.Снятие и запись показаний с вычислителя в журнал.</t>
  </si>
  <si>
    <t>Перечень услуг и работ на 2016г. определён в соответствии с АКТОМ технического состояния дома № 1 по ул. Мичурина от "_______" _____________________ 2017г.</t>
  </si>
  <si>
    <t>Перечень услуг и работ определён в соответствии с минимальным перечнем, необходимым для надлежащего содержания общего имущества и вынесен на утверждёние общим собранием собственников жилых помещений дома № 1 по ул. Мичурина  "_______" ____________________ 2017г.</t>
  </si>
  <si>
    <t>Текущий ремонт водянных подогревателей</t>
  </si>
  <si>
    <t>Восстановление разрушенной тепловой изоляции минераловатными матами</t>
  </si>
  <si>
    <t>100 м2 восстановленного участка</t>
  </si>
  <si>
    <t>Уборка подвалов (ИТУ)</t>
  </si>
  <si>
    <t xml:space="preserve">100 м2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</si>
</sst>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2"/>
    </font>
    <font>
      <b/>
      <sz val="11"/>
      <color indexed="10"/>
      <name val="Courier"/>
      <family val="1"/>
    </font>
    <font>
      <b/>
      <sz val="11"/>
      <color indexed="10"/>
      <name val="Arial"/>
      <family val="2"/>
    </font>
    <font>
      <b/>
      <sz val="12"/>
      <color indexed="10"/>
      <name val="Courier"/>
      <family val="1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5"/>
      <color indexed="10"/>
      <name val="Courier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right" vertical="center"/>
      <protection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2" fontId="0" fillId="0" borderId="14" xfId="0" applyNumberFormat="1" applyFill="1" applyBorder="1" applyAlignment="1" applyProtection="1">
      <alignment horizontal="left" vertical="center" wrapText="1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2" fontId="0" fillId="0" borderId="21" xfId="0" applyNumberFormat="1" applyFill="1" applyBorder="1" applyAlignment="1" applyProtection="1">
      <alignment horizontal="left" vertical="center" wrapText="1"/>
      <protection/>
    </xf>
    <xf numFmtId="2" fontId="0" fillId="0" borderId="22" xfId="0" applyNumberFormat="1" applyFill="1" applyBorder="1" applyAlignment="1" applyProtection="1">
      <alignment horizontal="left" vertical="center" wrapText="1"/>
      <protection/>
    </xf>
    <xf numFmtId="2" fontId="0" fillId="0" borderId="22" xfId="0" applyNumberForma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/>
      <protection/>
    </xf>
    <xf numFmtId="4" fontId="0" fillId="0" borderId="23" xfId="0" applyNumberFormat="1" applyFill="1" applyBorder="1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 vertical="top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4" fontId="0" fillId="0" borderId="25" xfId="0" applyNumberFormat="1" applyFill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/>
      <protection/>
    </xf>
    <xf numFmtId="171" fontId="0" fillId="0" borderId="14" xfId="0" applyNumberForma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vertical="center"/>
      <protection/>
    </xf>
    <xf numFmtId="2" fontId="0" fillId="0" borderId="0" xfId="0" applyNumberForma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" fontId="9" fillId="0" borderId="0" xfId="0" applyNumberFormat="1" applyFont="1" applyFill="1" applyAlignment="1" applyProtection="1">
      <alignment/>
      <protection/>
    </xf>
    <xf numFmtId="0" fontId="0" fillId="0" borderId="26" xfId="0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2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4" fontId="4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2" fontId="0" fillId="0" borderId="0" xfId="0" applyNumberFormat="1" applyFill="1" applyAlignment="1" applyProtection="1">
      <alignment vertical="top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4" fontId="3" fillId="0" borderId="33" xfId="0" applyNumberFormat="1" applyFont="1" applyFill="1" applyBorder="1" applyAlignment="1" applyProtection="1">
      <alignment horizontal="right" vertical="center"/>
      <protection/>
    </xf>
    <xf numFmtId="4" fontId="3" fillId="0" borderId="34" xfId="0" applyNumberFormat="1" applyFont="1" applyFill="1" applyBorder="1" applyAlignment="1" applyProtection="1">
      <alignment horizontal="right" vertical="center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4" fontId="0" fillId="0" borderId="40" xfId="0" applyNumberFormat="1" applyFill="1" applyBorder="1" applyAlignment="1" applyProtection="1">
      <alignment horizontal="right" vertical="center"/>
      <protection/>
    </xf>
    <xf numFmtId="1" fontId="0" fillId="0" borderId="41" xfId="0" applyNumberFormat="1" applyFill="1" applyBorder="1" applyAlignment="1" applyProtection="1">
      <alignment horizontal="center" vertical="center"/>
      <protection/>
    </xf>
    <xf numFmtId="4" fontId="0" fillId="0" borderId="42" xfId="0" applyNumberFormat="1" applyFill="1" applyBorder="1" applyAlignment="1" applyProtection="1">
      <alignment horizontal="right" vertical="center"/>
      <protection/>
    </xf>
    <xf numFmtId="1" fontId="0" fillId="0" borderId="43" xfId="0" applyNumberFormat="1" applyFill="1" applyBorder="1" applyAlignment="1" applyProtection="1">
      <alignment horizontal="center" vertical="center"/>
      <protection/>
    </xf>
    <xf numFmtId="4" fontId="0" fillId="0" borderId="44" xfId="0" applyNumberFormat="1" applyFill="1" applyBorder="1" applyAlignment="1" applyProtection="1">
      <alignment horizontal="right" vertical="center"/>
      <protection/>
    </xf>
    <xf numFmtId="2" fontId="9" fillId="0" borderId="37" xfId="0" applyNumberFormat="1" applyFont="1" applyFill="1" applyBorder="1" applyAlignment="1" applyProtection="1">
      <alignment horizontal="center" vertical="center"/>
      <protection/>
    </xf>
    <xf numFmtId="2" fontId="9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" fontId="0" fillId="0" borderId="48" xfId="0" applyNumberFormat="1" applyFill="1" applyBorder="1" applyAlignment="1" applyProtection="1">
      <alignment horizontal="right" vertical="center"/>
      <protection/>
    </xf>
    <xf numFmtId="0" fontId="4" fillId="0" borderId="49" xfId="0" applyFont="1" applyFill="1" applyBorder="1" applyAlignment="1" applyProtection="1">
      <alignment horizontal="left" vertical="center"/>
      <protection/>
    </xf>
    <xf numFmtId="0" fontId="4" fillId="0" borderId="50" xfId="0" applyFont="1" applyFill="1" applyBorder="1" applyAlignment="1" applyProtection="1">
      <alignment horizontal="left" vertical="center"/>
      <protection/>
    </xf>
    <xf numFmtId="4" fontId="4" fillId="0" borderId="50" xfId="0" applyNumberFormat="1" applyFont="1" applyFill="1" applyBorder="1" applyAlignment="1" applyProtection="1">
      <alignment horizontal="right" vertical="center"/>
      <protection/>
    </xf>
    <xf numFmtId="4" fontId="4" fillId="0" borderId="51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8</xdr:row>
      <xdr:rowOff>0</xdr:rowOff>
    </xdr:from>
    <xdr:to>
      <xdr:col>13</xdr:col>
      <xdr:colOff>152400</xdr:colOff>
      <xdr:row>8</xdr:row>
      <xdr:rowOff>152400</xdr:rowOff>
    </xdr:to>
    <xdr:pic>
      <xdr:nvPicPr>
        <xdr:cNvPr id="1" name="Picture 3" descr="http://cnis.ru/img/clos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3362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1190625</xdr:colOff>
      <xdr:row>7</xdr:row>
      <xdr:rowOff>666750</xdr:rowOff>
    </xdr:from>
    <xdr:to>
      <xdr:col>4</xdr:col>
      <xdr:colOff>142875</xdr:colOff>
      <xdr:row>8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3352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666750</xdr:rowOff>
    </xdr:from>
    <xdr:to>
      <xdr:col>5</xdr:col>
      <xdr:colOff>133350</xdr:colOff>
      <xdr:row>8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33528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70"/>
  <sheetViews>
    <sheetView tabSelected="1" zoomScale="70" zoomScaleNormal="70" zoomScalePageLayoutView="0" workbookViewId="0" topLeftCell="B42">
      <selection activeCell="U49" sqref="U49"/>
    </sheetView>
  </sheetViews>
  <sheetFormatPr defaultColWidth="9.140625" defaultRowHeight="12"/>
  <cols>
    <col min="1" max="1" width="0" style="0" hidden="1" customWidth="1"/>
    <col min="2" max="2" width="4.421875" style="0" customWidth="1"/>
    <col min="3" max="3" width="43.8515625" style="0" customWidth="1"/>
    <col min="4" max="4" width="18.00390625" style="0" customWidth="1"/>
    <col min="5" max="5" width="15.00390625" style="0" customWidth="1"/>
    <col min="6" max="6" width="12.00390625" style="0" customWidth="1"/>
    <col min="7" max="8" width="13.00390625" style="0" customWidth="1"/>
    <col min="9" max="9" width="9.28125" style="0" customWidth="1"/>
    <col min="10" max="10" width="13.00390625" style="0" customWidth="1"/>
    <col min="11" max="11" width="8.8515625" style="0" customWidth="1"/>
    <col min="12" max="12" width="13.00390625" style="0" customWidth="1"/>
    <col min="13" max="13" width="10.8515625" style="0" customWidth="1"/>
    <col min="14" max="15" width="10.7109375" style="0" customWidth="1"/>
  </cols>
  <sheetData>
    <row r="1" spans="2:13" ht="41.25" customHeight="1" thickBot="1">
      <c r="B1" s="65" t="s">
        <v>237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5" ht="19.5" customHeight="1" thickBot="1">
      <c r="B2" s="66" t="s">
        <v>204</v>
      </c>
      <c r="C2" s="67"/>
      <c r="D2" s="67"/>
      <c r="E2" s="68"/>
      <c r="F2" s="68"/>
      <c r="G2" s="69"/>
      <c r="H2" s="69"/>
      <c r="I2" s="69"/>
      <c r="J2" s="69"/>
      <c r="K2" s="69"/>
      <c r="L2" s="69"/>
      <c r="M2" s="70"/>
      <c r="N2" s="63"/>
      <c r="O2" s="54"/>
    </row>
    <row r="3" spans="1:15" ht="43.5" customHeight="1" thickBot="1">
      <c r="A3" s="62"/>
      <c r="B3" s="71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72" t="s">
        <v>11</v>
      </c>
      <c r="N3" s="64"/>
      <c r="O3" s="54"/>
    </row>
    <row r="4" spans="2:15" ht="19.5" customHeight="1">
      <c r="B4" s="73" t="s">
        <v>205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74"/>
      <c r="N4" s="21"/>
      <c r="O4" s="28"/>
    </row>
    <row r="5" spans="2:13" ht="15.75">
      <c r="B5" s="75" t="s">
        <v>220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76"/>
    </row>
    <row r="6" spans="2:15" ht="48">
      <c r="B6" s="77"/>
      <c r="C6" s="6" t="s">
        <v>236</v>
      </c>
      <c r="D6" s="6" t="s">
        <v>235</v>
      </c>
      <c r="E6" s="7">
        <v>0.121</v>
      </c>
      <c r="F6" s="7">
        <v>1</v>
      </c>
      <c r="G6" s="8">
        <f>24256.8*E6*F6</f>
        <v>2935.0728</v>
      </c>
      <c r="H6" s="8">
        <f>7511.111688*E6*F6+1700</f>
        <v>2608.844514248</v>
      </c>
      <c r="I6" s="8">
        <v>0</v>
      </c>
      <c r="J6" s="8">
        <f>18337.718434752*E6*F6</f>
        <v>2218.863930604992</v>
      </c>
      <c r="K6" s="8">
        <f>0*E6*F6</f>
        <v>0</v>
      </c>
      <c r="L6" s="8">
        <f>13411.8951318*E6*F6-900</f>
        <v>722.8393109478</v>
      </c>
      <c r="M6" s="78">
        <f>SUM(G6:L6)</f>
        <v>8485.620555800791</v>
      </c>
      <c r="O6" s="41"/>
    </row>
    <row r="7" spans="2:15" ht="24">
      <c r="B7" s="79"/>
      <c r="C7" s="25" t="s">
        <v>233</v>
      </c>
      <c r="D7" s="22" t="s">
        <v>12</v>
      </c>
      <c r="E7" s="7">
        <v>0.6</v>
      </c>
      <c r="F7" s="7">
        <v>1</v>
      </c>
      <c r="G7" s="8">
        <f>954.8396*E7*F7</f>
        <v>572.90376</v>
      </c>
      <c r="H7" s="8">
        <f>1329.7566011664*E7*F7</f>
        <v>797.8539606998401</v>
      </c>
      <c r="I7" s="8">
        <f>0*E7*F7</f>
        <v>0</v>
      </c>
      <c r="J7" s="8">
        <f>718.0393792*E7*F7</f>
        <v>430.82362752</v>
      </c>
      <c r="K7" s="8">
        <f>0*E7*F7</f>
        <v>0</v>
      </c>
      <c r="L7" s="8">
        <f>631.47755*E7*F7</f>
        <v>378.88652999999994</v>
      </c>
      <c r="M7" s="78">
        <f>SUM(G7:L7)</f>
        <v>2180.46787821984</v>
      </c>
      <c r="O7" s="21"/>
    </row>
    <row r="8" spans="2:13" ht="53.25" customHeight="1">
      <c r="B8" s="77"/>
      <c r="C8" s="6" t="s">
        <v>232</v>
      </c>
      <c r="D8" s="6" t="s">
        <v>12</v>
      </c>
      <c r="E8" s="24">
        <v>0.6</v>
      </c>
      <c r="F8" s="31">
        <v>1</v>
      </c>
      <c r="G8" s="29">
        <f>954.8396*E8*F8-170+1293.7</f>
        <v>1696.60376</v>
      </c>
      <c r="H8" s="29">
        <f>1329.7566011664*E8*F8+15%+698.63</f>
        <v>1496.63396069984</v>
      </c>
      <c r="I8" s="29">
        <f>0*E8*F8</f>
        <v>0</v>
      </c>
      <c r="J8" s="29">
        <f>718.0393792*E8*F8-130+972.86</f>
        <v>1273.68362752</v>
      </c>
      <c r="K8" s="29">
        <f>0*E8*F8</f>
        <v>0</v>
      </c>
      <c r="L8" s="29">
        <f>525.16178*E8*F8-130+711.53</f>
        <v>896.627068</v>
      </c>
      <c r="M8" s="80">
        <f>SUM(G8:L8)</f>
        <v>5363.54841621984</v>
      </c>
    </row>
    <row r="9" spans="2:13" ht="24">
      <c r="B9" s="81"/>
      <c r="C9" s="26" t="s">
        <v>234</v>
      </c>
      <c r="D9" s="22" t="s">
        <v>13</v>
      </c>
      <c r="E9" s="23">
        <f>0.636</f>
        <v>0.636</v>
      </c>
      <c r="F9" s="23">
        <v>1</v>
      </c>
      <c r="G9" s="27">
        <f>1175.1872*E9*F9</f>
        <v>747.4190592000001</v>
      </c>
      <c r="H9" s="27">
        <f>433.123976703*E9*F9+15%</f>
        <v>275.61684918310795</v>
      </c>
      <c r="I9" s="27">
        <f>0*E9*F9</f>
        <v>0</v>
      </c>
      <c r="J9" s="27">
        <f>883.7407744*E9*F9</f>
        <v>562.0591325184</v>
      </c>
      <c r="K9" s="27">
        <f>0*E9*F9</f>
        <v>0</v>
      </c>
      <c r="L9" s="27">
        <f>528.83424*E9*F9</f>
        <v>336.33857664000004</v>
      </c>
      <c r="M9" s="82">
        <f>SUM(G9:L9)</f>
        <v>1921.4336175415083</v>
      </c>
    </row>
    <row r="10" spans="2:13" ht="15.75">
      <c r="B10" s="83" t="s">
        <v>222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84"/>
    </row>
    <row r="11" spans="2:13" ht="12">
      <c r="B11" s="77"/>
      <c r="C11" s="6" t="s">
        <v>14</v>
      </c>
      <c r="D11" s="6" t="s">
        <v>15</v>
      </c>
      <c r="E11" s="23">
        <v>0</v>
      </c>
      <c r="F11" s="7">
        <v>1</v>
      </c>
      <c r="G11" s="8">
        <f>153.6264*E11*F11</f>
        <v>0</v>
      </c>
      <c r="H11" s="8">
        <v>0</v>
      </c>
      <c r="I11" s="8">
        <f>0*E11*F11</f>
        <v>0</v>
      </c>
      <c r="J11" s="8">
        <f>115.5270528*E11*F11</f>
        <v>0</v>
      </c>
      <c r="K11" s="8">
        <f>0*E11*F11</f>
        <v>0</v>
      </c>
      <c r="L11" s="8">
        <f>69.13188*E11*F11</f>
        <v>0</v>
      </c>
      <c r="M11" s="78">
        <f>SUM(G11:L11)</f>
        <v>0</v>
      </c>
    </row>
    <row r="12" spans="2:13" ht="15.75">
      <c r="B12" s="75" t="s">
        <v>223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76"/>
    </row>
    <row r="13" spans="2:13" ht="54.75" customHeight="1">
      <c r="B13" s="77"/>
      <c r="C13" s="32" t="s">
        <v>221</v>
      </c>
      <c r="D13" s="43" t="s">
        <v>37</v>
      </c>
      <c r="E13" s="24">
        <v>1.3</v>
      </c>
      <c r="F13" s="31">
        <v>2</v>
      </c>
      <c r="G13" s="8">
        <f>63.06768*E13*F13+500</f>
        <v>663.975968</v>
      </c>
      <c r="H13" s="8">
        <v>630.43</v>
      </c>
      <c r="I13" s="8">
        <f>0*E13*F13</f>
        <v>0</v>
      </c>
      <c r="J13" s="8">
        <f>47.42689536*E13*F13+500</f>
        <v>623.309927936</v>
      </c>
      <c r="K13" s="8">
        <f>0*E13*F13</f>
        <v>0</v>
      </c>
      <c r="L13" s="8">
        <f>34.687224*E13*F13+300</f>
        <v>390.18678239999997</v>
      </c>
      <c r="M13" s="78">
        <f>SUM(G13:L13)</f>
        <v>2307.902678336</v>
      </c>
    </row>
    <row r="14" spans="2:14" ht="12">
      <c r="B14" s="77"/>
      <c r="C14" s="6" t="s">
        <v>16</v>
      </c>
      <c r="D14" s="6" t="s">
        <v>17</v>
      </c>
      <c r="E14" s="7">
        <v>0.192</v>
      </c>
      <c r="F14" s="7">
        <v>1</v>
      </c>
      <c r="G14" s="8">
        <f>7785.6152*E14*F14</f>
        <v>1494.8381184</v>
      </c>
      <c r="H14" s="8">
        <f>2018.80631544*E14*F14+58.14</f>
        <v>445.75081256448</v>
      </c>
      <c r="I14" s="8">
        <f>0*E14*F14</f>
        <v>0</v>
      </c>
      <c r="J14" s="8">
        <f>5854.7826304*E14*F14</f>
        <v>1124.1182650368</v>
      </c>
      <c r="K14" s="8">
        <f>0*E14*F14</f>
        <v>0</v>
      </c>
      <c r="L14" s="8">
        <f>3503.52684*E14*F14</f>
        <v>672.67715328</v>
      </c>
      <c r="M14" s="78">
        <f>SUM(G14:L14)</f>
        <v>3737.38434928128</v>
      </c>
      <c r="N14" s="21"/>
    </row>
    <row r="15" spans="2:13" ht="15.75">
      <c r="B15" s="75" t="s">
        <v>224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76"/>
    </row>
    <row r="16" spans="2:13" ht="36">
      <c r="B16" s="77"/>
      <c r="C16" s="6" t="s">
        <v>18</v>
      </c>
      <c r="D16" s="6" t="s">
        <v>19</v>
      </c>
      <c r="E16" s="7">
        <v>0.094</v>
      </c>
      <c r="F16" s="7">
        <v>1</v>
      </c>
      <c r="G16" s="8">
        <f>10240.44609*E16*F16</f>
        <v>962.60193246</v>
      </c>
      <c r="H16" s="8">
        <f>1181.87936208*E16*F16+16.6</f>
        <v>127.69666003552001</v>
      </c>
      <c r="I16" s="8">
        <f>0*E16*F16</f>
        <v>0</v>
      </c>
      <c r="J16" s="8">
        <f>7700.81545968*E16*F16-200</f>
        <v>523.8766532099199</v>
      </c>
      <c r="K16" s="8">
        <f>0*E16*F16</f>
        <v>0</v>
      </c>
      <c r="L16" s="8">
        <f>5632.2453495*E16*F16</f>
        <v>529.431062853</v>
      </c>
      <c r="M16" s="78">
        <f>SUM(G16:L16)</f>
        <v>2143.60630855844</v>
      </c>
    </row>
    <row r="17" spans="2:13" ht="24">
      <c r="B17" s="77"/>
      <c r="C17" s="6" t="s">
        <v>20</v>
      </c>
      <c r="D17" s="6" t="s">
        <v>12</v>
      </c>
      <c r="E17" s="7">
        <v>0.4</v>
      </c>
      <c r="F17" s="7">
        <v>1</v>
      </c>
      <c r="G17" s="8">
        <f>6145.056*E17*F17</f>
        <v>2458.0224</v>
      </c>
      <c r="H17" s="8">
        <f>1397.1015018*E17*F17+48</f>
        <v>606.84060072</v>
      </c>
      <c r="I17" s="8">
        <f>0*E17*F17</f>
        <v>0</v>
      </c>
      <c r="J17" s="8">
        <f>4621.082112*E17*F17-500</f>
        <v>1348.4328448</v>
      </c>
      <c r="K17" s="8">
        <f>0*E17*F17</f>
        <v>0</v>
      </c>
      <c r="L17" s="8">
        <f>3379.7808*E17*F17</f>
        <v>1351.9123200000001</v>
      </c>
      <c r="M17" s="78">
        <f>SUM(G17:L17)</f>
        <v>5765.208165520001</v>
      </c>
    </row>
    <row r="18" spans="2:13" ht="24">
      <c r="B18" s="77"/>
      <c r="C18" s="6" t="s">
        <v>21</v>
      </c>
      <c r="D18" s="6" t="s">
        <v>22</v>
      </c>
      <c r="E18" s="23">
        <f>0.27</f>
        <v>0.27</v>
      </c>
      <c r="F18" s="7">
        <v>1</v>
      </c>
      <c r="G18" s="8">
        <f>2005.2288*E18*F18</f>
        <v>541.411776</v>
      </c>
      <c r="H18" s="8">
        <f>308.253104292*E18*F18+12.48</f>
        <v>95.70833815884001</v>
      </c>
      <c r="I18" s="8">
        <f>0*E18*F18</f>
        <v>0</v>
      </c>
      <c r="J18" s="8">
        <f>1507.9320576*E18*F18</f>
        <v>407.14165555200003</v>
      </c>
      <c r="K18" s="8">
        <f>0*E18*F18</f>
        <v>0</v>
      </c>
      <c r="L18" s="8">
        <f>902.35296*E18*F18</f>
        <v>243.63529920000002</v>
      </c>
      <c r="M18" s="78">
        <f>SUM(G18:L18)</f>
        <v>1287.89706891084</v>
      </c>
    </row>
    <row r="19" spans="2:15" ht="19.5">
      <c r="B19" s="85" t="s">
        <v>206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74"/>
      <c r="N19" s="21"/>
      <c r="O19" s="21"/>
    </row>
    <row r="20" spans="2:13" ht="15.75">
      <c r="B20" s="75" t="s">
        <v>207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76"/>
    </row>
    <row r="21" spans="2:15" ht="12">
      <c r="B21" s="77"/>
      <c r="C21" s="6" t="s">
        <v>241</v>
      </c>
      <c r="D21" s="6" t="s">
        <v>23</v>
      </c>
      <c r="E21" s="7">
        <v>1</v>
      </c>
      <c r="F21" s="7">
        <v>2</v>
      </c>
      <c r="G21" s="8">
        <f>1235.7492*E21*F21+2100</f>
        <v>4571.4984</v>
      </c>
      <c r="H21" s="8">
        <f>4796.27748103*E21*F21-4500</f>
        <v>5092.5549620599995</v>
      </c>
      <c r="I21" s="8">
        <f>0*E21*F21</f>
        <v>0</v>
      </c>
      <c r="J21" s="8">
        <f>929.2833984*E21*F21+2000</f>
        <v>3858.5667968</v>
      </c>
      <c r="K21" s="8">
        <f>0*E21*F21</f>
        <v>0</v>
      </c>
      <c r="L21" s="8">
        <f>556.08714*E21*F21</f>
        <v>1112.17428</v>
      </c>
      <c r="M21" s="78">
        <f>SUM(G21:L21)</f>
        <v>14634.794438859999</v>
      </c>
      <c r="N21" s="21"/>
      <c r="O21" s="28"/>
    </row>
    <row r="22" spans="2:15" ht="36">
      <c r="B22" s="77"/>
      <c r="C22" s="6" t="s">
        <v>242</v>
      </c>
      <c r="D22" s="6" t="s">
        <v>243</v>
      </c>
      <c r="E22" s="7">
        <v>0.2</v>
      </c>
      <c r="F22" s="7">
        <v>1</v>
      </c>
      <c r="G22" s="8">
        <f>9474.9468*E22*F22-600+200+100</f>
        <v>1594.98936</v>
      </c>
      <c r="H22" s="8">
        <f>1321.0766031*E22*F22+600+100</f>
        <v>964.21532062</v>
      </c>
      <c r="I22" s="8">
        <f>0*E22*F22</f>
        <v>0</v>
      </c>
      <c r="J22" s="8">
        <f>7125.1599936*E22*F22-300</f>
        <v>1125.03199872</v>
      </c>
      <c r="K22" s="8">
        <f>0*E22*F22</f>
        <v>0</v>
      </c>
      <c r="L22" s="8">
        <f>5211.22074*E22*F22-606.31</f>
        <v>435.93414800000005</v>
      </c>
      <c r="M22" s="78">
        <f>SUM(G22:L22)</f>
        <v>4120.17082734</v>
      </c>
      <c r="O22" s="28"/>
    </row>
    <row r="23" spans="2:15" ht="15.75">
      <c r="B23" s="75" t="s">
        <v>208</v>
      </c>
      <c r="C23" s="45"/>
      <c r="D23" s="45"/>
      <c r="E23" s="45"/>
      <c r="F23" s="45"/>
      <c r="G23" s="48"/>
      <c r="H23" s="48"/>
      <c r="I23" s="48"/>
      <c r="J23" s="48"/>
      <c r="K23" s="48"/>
      <c r="L23" s="48"/>
      <c r="M23" s="86"/>
      <c r="O23" s="28"/>
    </row>
    <row r="24" spans="2:15" ht="24">
      <c r="B24" s="77"/>
      <c r="C24" s="6" t="s">
        <v>24</v>
      </c>
      <c r="D24" s="6" t="s">
        <v>25</v>
      </c>
      <c r="E24" s="7">
        <v>0.08</v>
      </c>
      <c r="F24" s="7">
        <v>1</v>
      </c>
      <c r="G24" s="8">
        <f>25915.74904*E24*F24</f>
        <v>2073.2599232</v>
      </c>
      <c r="H24" s="8">
        <f>71208.708855*E24*F24+500</f>
        <v>6196.696708400001</v>
      </c>
      <c r="I24" s="8">
        <f>0*E24*F24</f>
        <v>0</v>
      </c>
      <c r="J24" s="8">
        <f>19488.64327808*E24*F24</f>
        <v>1559.0914622464</v>
      </c>
      <c r="K24" s="8">
        <f>0*E24*F24</f>
        <v>0</v>
      </c>
      <c r="L24" s="8">
        <f>11662.087068*E24*F24</f>
        <v>932.9669654400001</v>
      </c>
      <c r="M24" s="78">
        <f>SUM(G24:L24)</f>
        <v>10762.015059286401</v>
      </c>
      <c r="N24" s="21"/>
      <c r="O24" s="28"/>
    </row>
    <row r="25" spans="2:15" ht="15.75">
      <c r="B25" s="87" t="s">
        <v>209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86"/>
      <c r="O25" s="28"/>
    </row>
    <row r="26" spans="2:15" ht="36">
      <c r="B26" s="77"/>
      <c r="C26" s="6" t="s">
        <v>26</v>
      </c>
      <c r="D26" s="6" t="s">
        <v>25</v>
      </c>
      <c r="E26" s="7">
        <v>0.08</v>
      </c>
      <c r="F26" s="7">
        <v>1</v>
      </c>
      <c r="G26" s="8">
        <f>40467.29664*E26*F26</f>
        <v>3237.3837312</v>
      </c>
      <c r="H26" s="8">
        <f>123715.1507943*E26*F26+500</f>
        <v>10397.212063544</v>
      </c>
      <c r="I26" s="8">
        <f>0*E26*F26</f>
        <v>0</v>
      </c>
      <c r="J26" s="8">
        <f>30431.40707328*E26*F26</f>
        <v>2434.5125658624</v>
      </c>
      <c r="K26" s="8">
        <f>0*E26*F26</f>
        <v>0</v>
      </c>
      <c r="L26" s="8">
        <f>18210.283488*E26*F26</f>
        <v>1456.8226790400001</v>
      </c>
      <c r="M26" s="78">
        <f>SUM(G26:L26)</f>
        <v>17525.9310396464</v>
      </c>
      <c r="N26" s="21"/>
      <c r="O26" s="28"/>
    </row>
    <row r="27" spans="2:15" ht="24">
      <c r="B27" s="77"/>
      <c r="C27" s="6" t="s">
        <v>27</v>
      </c>
      <c r="D27" s="6" t="s">
        <v>28</v>
      </c>
      <c r="E27" s="7">
        <v>0.1</v>
      </c>
      <c r="F27" s="7">
        <v>4</v>
      </c>
      <c r="G27" s="8">
        <f>1783.054*E27*F27</f>
        <v>713.2216000000001</v>
      </c>
      <c r="H27" s="8">
        <f>541.6781595*E27*F27</f>
        <v>216.67126380000002</v>
      </c>
      <c r="I27" s="8">
        <f>0*E27*F27</f>
        <v>0</v>
      </c>
      <c r="J27" s="8">
        <f>1340.856608*E27*F27</f>
        <v>536.3426432</v>
      </c>
      <c r="K27" s="8">
        <f>0*E27*F27</f>
        <v>0</v>
      </c>
      <c r="L27" s="8">
        <f>802.3743*E27*F27+71.32</f>
        <v>392.26972</v>
      </c>
      <c r="M27" s="78">
        <f>SUM(G27:L27)</f>
        <v>1858.505227</v>
      </c>
      <c r="O27" s="28"/>
    </row>
    <row r="28" spans="2:15" ht="15.75">
      <c r="B28" s="75" t="s">
        <v>210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76"/>
      <c r="O28" s="28"/>
    </row>
    <row r="29" spans="2:15" ht="24">
      <c r="B29" s="77"/>
      <c r="C29" s="6" t="s">
        <v>29</v>
      </c>
      <c r="D29" s="6" t="s">
        <v>30</v>
      </c>
      <c r="E29" s="7">
        <v>0</v>
      </c>
      <c r="F29" s="7">
        <v>0</v>
      </c>
      <c r="G29" s="8">
        <v>0</v>
      </c>
      <c r="H29" s="8">
        <f>0*E29*F29</f>
        <v>0</v>
      </c>
      <c r="I29" s="8">
        <f>0*E29*F29</f>
        <v>0</v>
      </c>
      <c r="J29" s="8">
        <f>5.310190848*E29*F29</f>
        <v>0</v>
      </c>
      <c r="K29" s="8">
        <f>0*E29*F29</f>
        <v>0</v>
      </c>
      <c r="L29" s="8">
        <v>0</v>
      </c>
      <c r="M29" s="78">
        <f>SUM(G29:L29)</f>
        <v>0</v>
      </c>
      <c r="N29" s="21"/>
      <c r="O29" s="28"/>
    </row>
    <row r="30" spans="2:15" ht="15.75">
      <c r="B30" s="75" t="s">
        <v>211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76"/>
      <c r="O30" s="28"/>
    </row>
    <row r="31" spans="2:15" ht="36">
      <c r="B31" s="77"/>
      <c r="C31" s="6" t="s">
        <v>214</v>
      </c>
      <c r="D31" s="6" t="s">
        <v>37</v>
      </c>
      <c r="E31" s="7">
        <v>1.27</v>
      </c>
      <c r="F31" s="7">
        <v>12</v>
      </c>
      <c r="G31" s="8">
        <v>18000</v>
      </c>
      <c r="H31" s="8">
        <v>1344.4</v>
      </c>
      <c r="I31" s="8">
        <f>0*E31*F31</f>
        <v>0</v>
      </c>
      <c r="J31" s="8">
        <v>0</v>
      </c>
      <c r="K31" s="8">
        <f>0*E31*F31</f>
        <v>0</v>
      </c>
      <c r="L31" s="8">
        <v>1399.79</v>
      </c>
      <c r="M31" s="78">
        <f>SUM(G31:L31)</f>
        <v>20744.190000000002</v>
      </c>
      <c r="N31" s="38"/>
      <c r="O31" s="39"/>
    </row>
    <row r="32" spans="2:15" ht="15.75">
      <c r="B32" s="75" t="s">
        <v>212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76"/>
      <c r="O32" s="28"/>
    </row>
    <row r="33" spans="2:15" ht="24">
      <c r="B33" s="77"/>
      <c r="C33" s="6" t="s">
        <v>31</v>
      </c>
      <c r="D33" s="6" t="s">
        <v>32</v>
      </c>
      <c r="E33" s="7">
        <v>1.27</v>
      </c>
      <c r="F33" s="7">
        <v>1</v>
      </c>
      <c r="G33" s="8">
        <f>63.06768*E33*F33</f>
        <v>80.0959536</v>
      </c>
      <c r="H33" s="8">
        <f>0*E33*F33</f>
        <v>0</v>
      </c>
      <c r="I33" s="8">
        <f>0*E33*F33</f>
        <v>0</v>
      </c>
      <c r="J33" s="8">
        <f>47.42689536*E33*F33</f>
        <v>60.2321571072</v>
      </c>
      <c r="K33" s="8">
        <f aca="true" t="shared" si="0" ref="K33:K39">0*E33*F33</f>
        <v>0</v>
      </c>
      <c r="L33" s="8">
        <f>28.380456*E33*F33</f>
        <v>36.04317912</v>
      </c>
      <c r="M33" s="78">
        <f aca="true" t="shared" si="1" ref="M33:M39">SUM(G33:L33)</f>
        <v>176.3712898272</v>
      </c>
      <c r="N33" s="21"/>
      <c r="O33" s="28"/>
    </row>
    <row r="34" spans="2:13" ht="48">
      <c r="B34" s="77"/>
      <c r="C34" s="33" t="s">
        <v>225</v>
      </c>
      <c r="D34" s="6" t="s">
        <v>33</v>
      </c>
      <c r="E34" s="7">
        <v>0.6</v>
      </c>
      <c r="F34" s="7">
        <v>2</v>
      </c>
      <c r="G34" s="8">
        <v>1515.91</v>
      </c>
      <c r="H34" s="8">
        <f>0*E34*F34+654.7</f>
        <v>654.7</v>
      </c>
      <c r="I34" s="8">
        <v>1800</v>
      </c>
      <c r="J34" s="8">
        <v>1237.96</v>
      </c>
      <c r="K34" s="8">
        <f t="shared" si="0"/>
        <v>0</v>
      </c>
      <c r="L34" s="8">
        <v>283.75</v>
      </c>
      <c r="M34" s="78">
        <f t="shared" si="1"/>
        <v>5492.32</v>
      </c>
    </row>
    <row r="35" spans="2:13" ht="54" customHeight="1">
      <c r="B35" s="77"/>
      <c r="C35" s="33" t="s">
        <v>226</v>
      </c>
      <c r="D35" s="6" t="s">
        <v>34</v>
      </c>
      <c r="E35" s="7">
        <v>0.27</v>
      </c>
      <c r="F35" s="7">
        <v>2</v>
      </c>
      <c r="G35" s="8">
        <f>10592.136*E35*F35+800</f>
        <v>6519.75344</v>
      </c>
      <c r="H35" s="8">
        <v>2225</v>
      </c>
      <c r="I35" s="8">
        <f>0*E35*F35</f>
        <v>0</v>
      </c>
      <c r="J35" s="8">
        <f>7965.286272*E35*F35+600</f>
        <v>4901.254586880001</v>
      </c>
      <c r="K35" s="8">
        <f t="shared" si="0"/>
        <v>0</v>
      </c>
      <c r="L35" s="8">
        <f>5825.6748*E35*F35-1200</f>
        <v>1945.864392</v>
      </c>
      <c r="M35" s="78">
        <f t="shared" si="1"/>
        <v>15591.87241888</v>
      </c>
    </row>
    <row r="36" spans="2:15" ht="12">
      <c r="B36" s="77"/>
      <c r="C36" s="6" t="s">
        <v>35</v>
      </c>
      <c r="D36" s="6" t="s">
        <v>36</v>
      </c>
      <c r="E36" s="7">
        <v>45.75</v>
      </c>
      <c r="F36" s="7">
        <v>1</v>
      </c>
      <c r="G36" s="8">
        <f>153.585972*E36*F36-1000</f>
        <v>6026.558219</v>
      </c>
      <c r="H36" s="8">
        <f>0*E36*F36</f>
        <v>0</v>
      </c>
      <c r="I36" s="8">
        <f>0*E36*F36</f>
        <v>0</v>
      </c>
      <c r="J36" s="8">
        <f>115.496650944*E36*F36-1000</f>
        <v>4283.971780688</v>
      </c>
      <c r="K36" s="8">
        <f t="shared" si="0"/>
        <v>0</v>
      </c>
      <c r="L36" s="8">
        <f>69.1136874*E36*F36+1000</f>
        <v>4161.95119855</v>
      </c>
      <c r="M36" s="78">
        <f t="shared" si="1"/>
        <v>14472.481198237998</v>
      </c>
      <c r="O36" s="28"/>
    </row>
    <row r="37" spans="2:15" ht="36">
      <c r="B37" s="77"/>
      <c r="C37" s="6" t="s">
        <v>38</v>
      </c>
      <c r="D37" s="6" t="s">
        <v>37</v>
      </c>
      <c r="E37" s="7">
        <v>1.27</v>
      </c>
      <c r="F37" s="7">
        <v>2</v>
      </c>
      <c r="G37" s="8">
        <f>679.1904*E37*F37-500</f>
        <v>1225.1436159999998</v>
      </c>
      <c r="H37" s="8">
        <f>0*E37*F37</f>
        <v>0</v>
      </c>
      <c r="I37" s="8">
        <f>0*E37*F37</f>
        <v>0</v>
      </c>
      <c r="J37" s="8">
        <f>510.7511808*E37*F37</f>
        <v>1297.307999232</v>
      </c>
      <c r="K37" s="8">
        <f t="shared" si="0"/>
        <v>0</v>
      </c>
      <c r="L37" s="8">
        <f>373.55472*E37*F37</f>
        <v>948.8289887999999</v>
      </c>
      <c r="M37" s="78">
        <f t="shared" si="1"/>
        <v>3471.2806040319997</v>
      </c>
      <c r="O37" s="28"/>
    </row>
    <row r="38" spans="2:13" ht="60">
      <c r="B38" s="77"/>
      <c r="C38" s="33" t="s">
        <v>227</v>
      </c>
      <c r="D38" s="6" t="s">
        <v>39</v>
      </c>
      <c r="E38" s="7">
        <v>1</v>
      </c>
      <c r="F38" s="7">
        <v>2</v>
      </c>
      <c r="G38" s="8">
        <f>646.848*E38*F38+2700</f>
        <v>3993.696</v>
      </c>
      <c r="H38" s="8">
        <v>2314.49</v>
      </c>
      <c r="I38" s="8">
        <f>0*E38*F38</f>
        <v>0</v>
      </c>
      <c r="J38" s="8">
        <f>486.429696*E38*F38+1320</f>
        <v>2292.859392</v>
      </c>
      <c r="K38" s="8">
        <f t="shared" si="0"/>
        <v>0</v>
      </c>
      <c r="L38" s="8">
        <f>355.7664*E38*F38</f>
        <v>711.5328</v>
      </c>
      <c r="M38" s="78">
        <f t="shared" si="1"/>
        <v>9312.578192</v>
      </c>
    </row>
    <row r="39" spans="2:15" ht="24">
      <c r="B39" s="77"/>
      <c r="C39" s="6" t="s">
        <v>40</v>
      </c>
      <c r="D39" s="6" t="s">
        <v>41</v>
      </c>
      <c r="E39" s="7">
        <v>51.32</v>
      </c>
      <c r="F39" s="7">
        <v>1</v>
      </c>
      <c r="G39" s="8">
        <f>153.587886*E39*F39-2000</f>
        <v>5882.13030952</v>
      </c>
      <c r="H39" s="8">
        <f>9.605*E39*F39+89</f>
        <v>581.9286</v>
      </c>
      <c r="I39" s="8">
        <f>0*E39*F39</f>
        <v>0</v>
      </c>
      <c r="J39" s="8">
        <f>115.498090272*E39*F39-1000</f>
        <v>4927.36199275904</v>
      </c>
      <c r="K39" s="8">
        <f t="shared" si="0"/>
        <v>0</v>
      </c>
      <c r="L39" s="8">
        <f>69.1145487*E39*F39</f>
        <v>3546.958639284</v>
      </c>
      <c r="M39" s="78">
        <f t="shared" si="1"/>
        <v>14938.379541563041</v>
      </c>
      <c r="O39" s="28"/>
    </row>
    <row r="40" spans="2:13" ht="60.75" customHeight="1">
      <c r="B40" s="77"/>
      <c r="C40" s="6" t="s">
        <v>238</v>
      </c>
      <c r="D40" s="6" t="s">
        <v>42</v>
      </c>
      <c r="E40" s="7">
        <v>2</v>
      </c>
      <c r="F40" s="7">
        <v>12</v>
      </c>
      <c r="G40" s="8">
        <v>945.18</v>
      </c>
      <c r="H40" s="8">
        <v>0</v>
      </c>
      <c r="I40" s="8">
        <v>0</v>
      </c>
      <c r="J40" s="8">
        <v>710.78</v>
      </c>
      <c r="K40" s="8">
        <v>0</v>
      </c>
      <c r="L40" s="8">
        <v>425</v>
      </c>
      <c r="M40" s="78">
        <v>2081.29</v>
      </c>
    </row>
    <row r="41" spans="2:15" ht="29.25" customHeight="1">
      <c r="B41" s="85" t="s">
        <v>213</v>
      </c>
      <c r="C41" s="46"/>
      <c r="D41" s="46"/>
      <c r="E41" s="46"/>
      <c r="F41" s="46"/>
      <c r="G41" s="47"/>
      <c r="H41" s="47"/>
      <c r="I41" s="47"/>
      <c r="J41" s="47"/>
      <c r="K41" s="47"/>
      <c r="L41" s="47"/>
      <c r="M41" s="88"/>
      <c r="N41" s="30"/>
      <c r="O41" s="61"/>
    </row>
    <row r="42" spans="2:13" ht="72">
      <c r="B42" s="77"/>
      <c r="C42" s="33" t="s">
        <v>228</v>
      </c>
      <c r="D42" s="6" t="s">
        <v>39</v>
      </c>
      <c r="E42" s="7">
        <v>1</v>
      </c>
      <c r="F42" s="24">
        <v>365</v>
      </c>
      <c r="G42" s="29">
        <v>5642.88</v>
      </c>
      <c r="H42" s="29">
        <f>0*E42*F42</f>
        <v>0</v>
      </c>
      <c r="I42" s="29">
        <f>0*E42*F42</f>
        <v>0</v>
      </c>
      <c r="J42" s="29">
        <f>G42*45%</f>
        <v>2539.2960000000003</v>
      </c>
      <c r="K42" s="29">
        <f>0*E42*F42</f>
        <v>0</v>
      </c>
      <c r="L42" s="29">
        <f>G42*20%</f>
        <v>1128.576</v>
      </c>
      <c r="M42" s="80">
        <f>SUM(G42:L42)</f>
        <v>9310.752</v>
      </c>
    </row>
    <row r="43" spans="2:15" ht="27.75" customHeight="1">
      <c r="B43" s="85" t="s">
        <v>229</v>
      </c>
      <c r="C43" s="46"/>
      <c r="D43" s="46"/>
      <c r="E43" s="46"/>
      <c r="F43" s="46"/>
      <c r="G43" s="50"/>
      <c r="H43" s="50"/>
      <c r="I43" s="50"/>
      <c r="J43" s="50"/>
      <c r="K43" s="50"/>
      <c r="L43" s="50"/>
      <c r="M43" s="89"/>
      <c r="N43" s="21"/>
      <c r="O43" s="28"/>
    </row>
    <row r="44" spans="2:13" ht="12">
      <c r="B44" s="77"/>
      <c r="C44" s="33" t="s">
        <v>244</v>
      </c>
      <c r="D44" s="33" t="s">
        <v>245</v>
      </c>
      <c r="E44" s="7">
        <v>4.734</v>
      </c>
      <c r="F44" s="7">
        <v>2</v>
      </c>
      <c r="G44" s="8">
        <f>56.307219510372*E44*F44</f>
        <v>533.1167543242021</v>
      </c>
      <c r="H44" s="8">
        <f>0.183571172892*E44*F44+1.12+340</f>
        <v>342.85805186494144</v>
      </c>
      <c r="I44" s="8">
        <f>0*E44*F44</f>
        <v>0</v>
      </c>
      <c r="J44" s="8">
        <f>42.3430290718*E44*F44</f>
        <v>400.90379925180235</v>
      </c>
      <c r="K44" s="8">
        <f>0*E44*F44</f>
        <v>0</v>
      </c>
      <c r="L44" s="8">
        <f>25.338248779667*E44*F44</f>
        <v>239.90253944588716</v>
      </c>
      <c r="M44" s="78">
        <f>SUM(G44:L44)</f>
        <v>1516.781144886833</v>
      </c>
    </row>
    <row r="45" spans="2:15" ht="24">
      <c r="B45" s="77"/>
      <c r="C45" s="6" t="s">
        <v>43</v>
      </c>
      <c r="D45" s="6" t="s">
        <v>44</v>
      </c>
      <c r="E45" s="7">
        <v>0.267</v>
      </c>
      <c r="F45" s="7">
        <v>78</v>
      </c>
      <c r="G45" s="8">
        <f>179.2308*E45*F45</f>
        <v>3732.6606408</v>
      </c>
      <c r="H45" s="8">
        <f>3.472164*E45*F45+25</f>
        <v>97.311287464</v>
      </c>
      <c r="I45" s="8">
        <f aca="true" t="shared" si="2" ref="I45:I52">0*E45*F45</f>
        <v>0</v>
      </c>
      <c r="J45" s="8">
        <f>134.7815616*E45*F45</f>
        <v>2806.9608018816</v>
      </c>
      <c r="K45" s="8">
        <f aca="true" t="shared" si="3" ref="K45:K52">0*E45*F45</f>
        <v>0</v>
      </c>
      <c r="L45" s="8">
        <f>80.65386*E45*F45+500</f>
        <v>2179.69728836</v>
      </c>
      <c r="M45" s="78">
        <f aca="true" t="shared" si="4" ref="M45:M52">SUM(G45:L45)</f>
        <v>8816.630018505599</v>
      </c>
      <c r="O45" s="28"/>
    </row>
    <row r="46" spans="2:13" ht="12">
      <c r="B46" s="77"/>
      <c r="C46" s="6" t="s">
        <v>45</v>
      </c>
      <c r="D46" s="6" t="s">
        <v>46</v>
      </c>
      <c r="E46" s="7">
        <v>0.03</v>
      </c>
      <c r="F46" s="7">
        <v>52</v>
      </c>
      <c r="G46" s="8">
        <f>1071.342*E46*F46</f>
        <v>1671.2935200000002</v>
      </c>
      <c r="H46" s="8">
        <f>5.5728*E46*F46+15</f>
        <v>23.693568</v>
      </c>
      <c r="I46" s="8">
        <f t="shared" si="2"/>
        <v>0</v>
      </c>
      <c r="J46" s="8">
        <f>805.649184*E46*F46-100</f>
        <v>1156.81272704</v>
      </c>
      <c r="K46" s="8">
        <f t="shared" si="3"/>
        <v>0</v>
      </c>
      <c r="L46" s="8">
        <f>589.2381*E46*F46</f>
        <v>919.211436</v>
      </c>
      <c r="M46" s="78">
        <f t="shared" si="4"/>
        <v>3771.01125104</v>
      </c>
    </row>
    <row r="47" spans="2:15" ht="36">
      <c r="B47" s="77"/>
      <c r="C47" s="6" t="s">
        <v>47</v>
      </c>
      <c r="D47" s="6" t="s">
        <v>48</v>
      </c>
      <c r="E47" s="7">
        <v>0.027</v>
      </c>
      <c r="F47" s="7">
        <v>52</v>
      </c>
      <c r="G47" s="8">
        <f>3143.9508*E47*F47</f>
        <v>4414.1069232</v>
      </c>
      <c r="H47" s="8">
        <f>72.813921*E47*F47+60</f>
        <v>162.23074508399998</v>
      </c>
      <c r="I47" s="8">
        <f t="shared" si="2"/>
        <v>0</v>
      </c>
      <c r="J47" s="8">
        <f>2364.2510016*E47*F47</f>
        <v>3319.4084062464</v>
      </c>
      <c r="K47" s="8">
        <f t="shared" si="3"/>
        <v>0</v>
      </c>
      <c r="L47" s="8">
        <f>1414.77786*E47*F47</f>
        <v>1986.34811544</v>
      </c>
      <c r="M47" s="78">
        <f t="shared" si="4"/>
        <v>9882.0941899704</v>
      </c>
      <c r="O47" s="28"/>
    </row>
    <row r="48" spans="2:15" ht="36">
      <c r="B48" s="77"/>
      <c r="C48" s="6" t="s">
        <v>49</v>
      </c>
      <c r="D48" s="6" t="s">
        <v>48</v>
      </c>
      <c r="E48" s="7">
        <v>0.027</v>
      </c>
      <c r="F48" s="7">
        <v>6</v>
      </c>
      <c r="G48" s="8">
        <f>13701.0492*E48*F48</f>
        <v>2219.5699704</v>
      </c>
      <c r="H48" s="8">
        <f>258.31476*E48*F48+15%</f>
        <v>41.99699112</v>
      </c>
      <c r="I48" s="8">
        <f t="shared" si="2"/>
        <v>0</v>
      </c>
      <c r="J48" s="8">
        <f>10303.1889984*E48*F48</f>
        <v>1669.1166177408002</v>
      </c>
      <c r="K48" s="8">
        <f t="shared" si="3"/>
        <v>0</v>
      </c>
      <c r="L48" s="8">
        <f>6165.47214*E48*F48</f>
        <v>998.80648668</v>
      </c>
      <c r="M48" s="78">
        <f t="shared" si="4"/>
        <v>4929.4900659407995</v>
      </c>
      <c r="O48" s="28"/>
    </row>
    <row r="49" spans="2:15" ht="24">
      <c r="B49" s="77"/>
      <c r="C49" s="6" t="s">
        <v>50</v>
      </c>
      <c r="D49" s="6" t="s">
        <v>13</v>
      </c>
      <c r="E49" s="7">
        <v>0.135</v>
      </c>
      <c r="F49" s="7">
        <v>52</v>
      </c>
      <c r="G49" s="8">
        <f>185.9688*E49*F49</f>
        <v>1305.500976</v>
      </c>
      <c r="H49" s="8">
        <f>0.72664797*E49*F49+15%</f>
        <v>5.251068749400001</v>
      </c>
      <c r="I49" s="8">
        <f t="shared" si="2"/>
        <v>0</v>
      </c>
      <c r="J49" s="8">
        <f>139.8485376*E49*F49</f>
        <v>981.7367339519999</v>
      </c>
      <c r="K49" s="8">
        <f t="shared" si="3"/>
        <v>0</v>
      </c>
      <c r="L49" s="8">
        <f>83.68596*E49*F49</f>
        <v>587.4754392</v>
      </c>
      <c r="M49" s="78">
        <f t="shared" si="4"/>
        <v>2879.9642179014</v>
      </c>
      <c r="O49" s="28"/>
    </row>
    <row r="50" spans="2:15" ht="24">
      <c r="B50" s="77"/>
      <c r="C50" s="6" t="s">
        <v>51</v>
      </c>
      <c r="D50" s="6" t="s">
        <v>13</v>
      </c>
      <c r="E50" s="7">
        <v>0.135</v>
      </c>
      <c r="F50" s="7">
        <v>52</v>
      </c>
      <c r="G50" s="8">
        <f>34.3638*E50*F50</f>
        <v>241.233876</v>
      </c>
      <c r="H50" s="8">
        <f>0.3472164*E50*F50+15%</f>
        <v>2.587459128</v>
      </c>
      <c r="I50" s="8">
        <f t="shared" si="2"/>
        <v>0</v>
      </c>
      <c r="J50" s="8">
        <f>25.8415776*E50*F50</f>
        <v>181.407874752</v>
      </c>
      <c r="K50" s="8">
        <f t="shared" si="3"/>
        <v>0</v>
      </c>
      <c r="L50" s="8">
        <f>15.46371*E50*F50</f>
        <v>108.55524420000002</v>
      </c>
      <c r="M50" s="78">
        <f t="shared" si="4"/>
        <v>533.78445408</v>
      </c>
      <c r="O50" s="28"/>
    </row>
    <row r="51" spans="2:13" ht="24">
      <c r="B51" s="77"/>
      <c r="C51" s="6" t="s">
        <v>52</v>
      </c>
      <c r="D51" s="6" t="s">
        <v>13</v>
      </c>
      <c r="E51" s="7">
        <v>0.046</v>
      </c>
      <c r="F51" s="7">
        <v>26</v>
      </c>
      <c r="G51" s="8">
        <f>808.56*E51*F51</f>
        <v>967.0377599999999</v>
      </c>
      <c r="H51" s="8">
        <f>2.58546702*E51*F51+15%</f>
        <v>3.2422185559199996</v>
      </c>
      <c r="I51" s="8">
        <f t="shared" si="2"/>
        <v>0</v>
      </c>
      <c r="J51" s="8">
        <f>608.03712*E51*F51</f>
        <v>727.2123955199999</v>
      </c>
      <c r="K51" s="8">
        <f t="shared" si="3"/>
        <v>0</v>
      </c>
      <c r="L51" s="8">
        <f>444.708*E51*F51</f>
        <v>531.870768</v>
      </c>
      <c r="M51" s="78">
        <f t="shared" si="4"/>
        <v>2229.3631420759198</v>
      </c>
    </row>
    <row r="52" spans="2:13" ht="12">
      <c r="B52" s="77"/>
      <c r="C52" s="6" t="s">
        <v>53</v>
      </c>
      <c r="D52" s="6" t="s">
        <v>54</v>
      </c>
      <c r="E52" s="7">
        <v>0.046</v>
      </c>
      <c r="F52" s="7">
        <v>52</v>
      </c>
      <c r="G52" s="8">
        <f>327.4668*E52*F52</f>
        <v>783.3005856</v>
      </c>
      <c r="H52" s="8">
        <f>1.48608*E52*F52+15%</f>
        <v>3.7047033600000003</v>
      </c>
      <c r="I52" s="8">
        <f t="shared" si="2"/>
        <v>0</v>
      </c>
      <c r="J52" s="8">
        <f>246.2550336*E52*F52</f>
        <v>589.0420403712</v>
      </c>
      <c r="K52" s="8">
        <f t="shared" si="3"/>
        <v>0</v>
      </c>
      <c r="L52" s="8">
        <f>180.10674*E52*F52</f>
        <v>430.81532208</v>
      </c>
      <c r="M52" s="78">
        <f t="shared" si="4"/>
        <v>1806.8626514112</v>
      </c>
    </row>
    <row r="53" spans="2:15" ht="36.75" thickBot="1">
      <c r="B53" s="77"/>
      <c r="C53" s="90" t="s">
        <v>230</v>
      </c>
      <c r="D53" s="33" t="s">
        <v>231</v>
      </c>
      <c r="E53" s="37">
        <v>1.27</v>
      </c>
      <c r="F53" s="34">
        <v>52</v>
      </c>
      <c r="G53" s="35">
        <f>1270.1*2.42*12</f>
        <v>36883.704</v>
      </c>
      <c r="H53" s="35">
        <v>0</v>
      </c>
      <c r="I53" s="35">
        <v>0</v>
      </c>
      <c r="J53" s="35">
        <v>0</v>
      </c>
      <c r="K53" s="35">
        <v>0</v>
      </c>
      <c r="L53" s="35">
        <f>G53*2%</f>
        <v>737.67408</v>
      </c>
      <c r="M53" s="91">
        <f>SUM(G53:L53)</f>
        <v>37621.378079999995</v>
      </c>
      <c r="N53" s="21"/>
      <c r="O53" s="28"/>
    </row>
    <row r="54" spans="2:15" ht="12.75" thickBot="1">
      <c r="B54" s="92" t="s">
        <v>55</v>
      </c>
      <c r="C54" s="93"/>
      <c r="D54" s="93"/>
      <c r="E54" s="93"/>
      <c r="F54" s="93"/>
      <c r="G54" s="94">
        <f aca="true" t="shared" si="5" ref="G54:M54">SUM(G5:G53)</f>
        <v>126846.0751329042</v>
      </c>
      <c r="H54" s="94">
        <f t="shared" si="5"/>
        <v>37756.12070805989</v>
      </c>
      <c r="I54" s="94">
        <f t="shared" si="5"/>
        <v>1800</v>
      </c>
      <c r="J54" s="94">
        <f t="shared" si="5"/>
        <v>52109.48043694896</v>
      </c>
      <c r="K54" s="94">
        <f t="shared" si="5"/>
        <v>0</v>
      </c>
      <c r="L54" s="94">
        <f t="shared" si="5"/>
        <v>33161.3538129607</v>
      </c>
      <c r="M54" s="95">
        <f t="shared" si="5"/>
        <v>251673.3600908738</v>
      </c>
      <c r="O54" s="28"/>
    </row>
    <row r="55" ht="12">
      <c r="M55" s="21"/>
    </row>
    <row r="56" spans="7:11" ht="12">
      <c r="G56" s="21"/>
      <c r="H56" s="21"/>
      <c r="I56" s="21"/>
      <c r="J56" s="21"/>
      <c r="K56" s="21"/>
    </row>
    <row r="58" spans="4:11" ht="19.5">
      <c r="D58" s="55" t="s">
        <v>56</v>
      </c>
      <c r="E58" s="55"/>
      <c r="F58" s="55"/>
      <c r="G58" s="55"/>
      <c r="H58" s="55"/>
      <c r="I58" s="55"/>
      <c r="J58" s="55"/>
      <c r="K58" s="55"/>
    </row>
    <row r="59" spans="4:11" ht="15">
      <c r="D59" s="12" t="s">
        <v>57</v>
      </c>
      <c r="E59" s="44">
        <f>G54</f>
        <v>126846.0751329042</v>
      </c>
      <c r="F59" s="44"/>
      <c r="G59" s="11"/>
      <c r="H59" s="11"/>
      <c r="I59" s="12" t="s">
        <v>58</v>
      </c>
      <c r="J59" s="44">
        <f>J54</f>
        <v>52109.48043694896</v>
      </c>
      <c r="K59" s="44"/>
    </row>
    <row r="60" spans="4:11" ht="15">
      <c r="D60" s="12" t="s">
        <v>59</v>
      </c>
      <c r="E60" s="44">
        <f>H54</f>
        <v>37756.12070805989</v>
      </c>
      <c r="F60" s="44"/>
      <c r="G60" s="11"/>
      <c r="H60" s="11"/>
      <c r="I60" s="12" t="s">
        <v>60</v>
      </c>
      <c r="J60" s="44">
        <f>K54</f>
        <v>0</v>
      </c>
      <c r="K60" s="44"/>
    </row>
    <row r="61" spans="4:11" ht="15">
      <c r="D61" s="12" t="s">
        <v>61</v>
      </c>
      <c r="E61" s="44">
        <f>I54</f>
        <v>1800</v>
      </c>
      <c r="F61" s="44"/>
      <c r="G61" s="11"/>
      <c r="H61" s="11"/>
      <c r="I61" s="12" t="s">
        <v>62</v>
      </c>
      <c r="J61" s="44">
        <f>L54</f>
        <v>33161.3538129607</v>
      </c>
      <c r="K61" s="44"/>
    </row>
    <row r="62" spans="4:11" ht="15">
      <c r="D62" s="12"/>
      <c r="E62" s="11"/>
      <c r="F62" s="11"/>
      <c r="G62" s="11"/>
      <c r="H62" s="11"/>
      <c r="I62" s="12" t="s">
        <v>63</v>
      </c>
      <c r="J62" s="44">
        <f>M54</f>
        <v>251673.3600908738</v>
      </c>
      <c r="K62" s="44"/>
    </row>
    <row r="63" spans="8:11" ht="15">
      <c r="H63" s="51" t="s">
        <v>215</v>
      </c>
      <c r="I63" s="51"/>
      <c r="J63" s="51"/>
      <c r="K63" s="36">
        <v>1270.1</v>
      </c>
    </row>
    <row r="64" spans="8:11" ht="15.75">
      <c r="H64" s="51" t="s">
        <v>216</v>
      </c>
      <c r="I64" s="51"/>
      <c r="J64" s="51"/>
      <c r="K64" s="42">
        <f>J62/K63/12</f>
        <v>16.512699793380694</v>
      </c>
    </row>
    <row r="66" spans="2:6" ht="12">
      <c r="B66" s="20" t="s">
        <v>217</v>
      </c>
      <c r="F66" s="20" t="s">
        <v>218</v>
      </c>
    </row>
    <row r="67" spans="2:5" ht="12">
      <c r="B67" s="20"/>
      <c r="E67" s="20"/>
    </row>
    <row r="68" spans="2:13" ht="12.75">
      <c r="B68" s="52" t="s">
        <v>239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2:10" ht="33" customHeight="1">
      <c r="B69" s="52" t="s">
        <v>240</v>
      </c>
      <c r="C69" s="52"/>
      <c r="D69" s="52"/>
      <c r="E69" s="52"/>
      <c r="F69" s="52"/>
      <c r="G69" s="52"/>
      <c r="H69" s="52"/>
      <c r="I69" s="52"/>
      <c r="J69" s="52"/>
    </row>
    <row r="70" spans="2:10" ht="16.5" customHeight="1">
      <c r="B70" s="49" t="s">
        <v>219</v>
      </c>
      <c r="C70" s="49"/>
      <c r="D70" s="49"/>
      <c r="E70" s="49"/>
      <c r="F70" s="49"/>
      <c r="G70" s="49"/>
      <c r="H70" s="49"/>
      <c r="I70" s="49"/>
      <c r="J70" s="40"/>
    </row>
  </sheetData>
  <sheetProtection formatCells="0" formatColumns="0" formatRows="0" insertColumns="0" insertRows="0" insertHyperlinks="0" deleteColumns="0" deleteRows="0" sort="0" autoFilter="0" pivotTables="0"/>
  <mergeCells count="32">
    <mergeCell ref="N2:N3"/>
    <mergeCell ref="O2:O3"/>
    <mergeCell ref="B68:M68"/>
    <mergeCell ref="B25:M25"/>
    <mergeCell ref="B28:M28"/>
    <mergeCell ref="B1:M1"/>
    <mergeCell ref="B2:M2"/>
    <mergeCell ref="B54:F54"/>
    <mergeCell ref="D58:K58"/>
    <mergeCell ref="B12:M12"/>
    <mergeCell ref="B15:M15"/>
    <mergeCell ref="B19:M19"/>
    <mergeCell ref="B20:M20"/>
    <mergeCell ref="B4:M4"/>
    <mergeCell ref="B5:M5"/>
    <mergeCell ref="B10:M10"/>
    <mergeCell ref="B23:M23"/>
    <mergeCell ref="B70:I70"/>
    <mergeCell ref="B43:M43"/>
    <mergeCell ref="H63:J63"/>
    <mergeCell ref="H64:J64"/>
    <mergeCell ref="B69:J69"/>
    <mergeCell ref="J61:K61"/>
    <mergeCell ref="J62:K62"/>
    <mergeCell ref="E59:F59"/>
    <mergeCell ref="E60:F60"/>
    <mergeCell ref="J60:K60"/>
    <mergeCell ref="E61:F61"/>
    <mergeCell ref="B30:M30"/>
    <mergeCell ref="B32:M32"/>
    <mergeCell ref="B41:M41"/>
    <mergeCell ref="J59:K59"/>
  </mergeCells>
  <printOptions/>
  <pageMargins left="0.35433070866141736" right="0.35433070866141736" top="0.35433070866141736" bottom="0.35433070866141736" header="0.31496062992125984" footer="0.31496062992125984"/>
  <pageSetup fitToHeight="1" fitToWidth="1" horizontalDpi="600" verticalDpi="600" orientation="portrait" paperSize="9" scale="47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PageLayoutView="0" workbookViewId="0" topLeftCell="B1">
      <selection activeCell="B128" sqref="B128:G128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9" t="s">
        <v>64</v>
      </c>
      <c r="C1" s="59"/>
      <c r="D1" s="59"/>
      <c r="E1" s="59"/>
      <c r="F1" s="59"/>
      <c r="G1" s="59"/>
    </row>
    <row r="3" spans="1:7" ht="27">
      <c r="A3" s="1"/>
      <c r="B3" s="2" t="s">
        <v>0</v>
      </c>
      <c r="C3" s="2" t="s">
        <v>65</v>
      </c>
      <c r="D3" s="3" t="s">
        <v>66</v>
      </c>
      <c r="E3" s="3" t="s">
        <v>3</v>
      </c>
      <c r="F3" s="3" t="s">
        <v>67</v>
      </c>
      <c r="G3" s="4" t="s">
        <v>11</v>
      </c>
    </row>
    <row r="4" spans="2:7" ht="15">
      <c r="B4" s="60" t="s">
        <v>68</v>
      </c>
      <c r="C4" s="60"/>
      <c r="D4" s="60"/>
      <c r="E4" s="60"/>
      <c r="F4" s="60"/>
      <c r="G4" s="60"/>
    </row>
    <row r="5" spans="2:7" ht="12">
      <c r="B5" s="13">
        <v>1</v>
      </c>
      <c r="C5" s="14" t="s">
        <v>69</v>
      </c>
      <c r="D5" s="14" t="s">
        <v>70</v>
      </c>
      <c r="E5" s="15">
        <v>5.7</v>
      </c>
      <c r="F5" s="16">
        <v>161.712</v>
      </c>
      <c r="G5" s="19">
        <f aca="true" t="shared" si="0" ref="G5:G34">E5*F5</f>
        <v>921.7583999999999</v>
      </c>
    </row>
    <row r="6" spans="2:7" ht="12">
      <c r="B6" s="5">
        <v>2</v>
      </c>
      <c r="C6" s="6" t="s">
        <v>71</v>
      </c>
      <c r="D6" s="6" t="s">
        <v>70</v>
      </c>
      <c r="E6" s="17">
        <v>113.7927</v>
      </c>
      <c r="F6" s="8">
        <v>134.76</v>
      </c>
      <c r="G6" s="9">
        <f t="shared" si="0"/>
        <v>15334.704251999998</v>
      </c>
    </row>
    <row r="7" spans="2:7" ht="12">
      <c r="B7" s="5">
        <v>3</v>
      </c>
      <c r="C7" s="6" t="s">
        <v>72</v>
      </c>
      <c r="D7" s="6" t="s">
        <v>70</v>
      </c>
      <c r="E7" s="17">
        <v>3.82242</v>
      </c>
      <c r="F7" s="8">
        <v>161.712</v>
      </c>
      <c r="G7" s="9">
        <f t="shared" si="0"/>
        <v>618.13118304</v>
      </c>
    </row>
    <row r="8" spans="2:7" ht="12">
      <c r="B8" s="5">
        <v>4</v>
      </c>
      <c r="C8" s="6" t="s">
        <v>73</v>
      </c>
      <c r="D8" s="6" t="s">
        <v>70</v>
      </c>
      <c r="E8" s="17">
        <v>0.49803</v>
      </c>
      <c r="F8" s="8">
        <v>161.712</v>
      </c>
      <c r="G8" s="9">
        <f t="shared" si="0"/>
        <v>80.53742736</v>
      </c>
    </row>
    <row r="9" spans="2:7" ht="24">
      <c r="B9" s="5">
        <v>5</v>
      </c>
      <c r="C9" s="6" t="s">
        <v>74</v>
      </c>
      <c r="D9" s="6" t="s">
        <v>70</v>
      </c>
      <c r="E9" s="17">
        <v>4.3855</v>
      </c>
      <c r="F9" s="8">
        <v>146.8884</v>
      </c>
      <c r="G9" s="9">
        <f t="shared" si="0"/>
        <v>644.1790782</v>
      </c>
    </row>
    <row r="10" spans="2:7" ht="24">
      <c r="B10" s="5">
        <v>6</v>
      </c>
      <c r="C10" s="6" t="s">
        <v>75</v>
      </c>
      <c r="D10" s="6" t="s">
        <v>70</v>
      </c>
      <c r="E10" s="17">
        <v>4.3855</v>
      </c>
      <c r="F10" s="8">
        <v>161.712</v>
      </c>
      <c r="G10" s="9">
        <f t="shared" si="0"/>
        <v>709.187976</v>
      </c>
    </row>
    <row r="11" spans="2:7" ht="24">
      <c r="B11" s="5">
        <v>7</v>
      </c>
      <c r="C11" s="6" t="s">
        <v>76</v>
      </c>
      <c r="D11" s="6" t="s">
        <v>70</v>
      </c>
      <c r="E11" s="17">
        <v>6.6404</v>
      </c>
      <c r="F11" s="8">
        <v>176.5356</v>
      </c>
      <c r="G11" s="9">
        <f t="shared" si="0"/>
        <v>1172.2669982399998</v>
      </c>
    </row>
    <row r="12" spans="2:7" ht="12">
      <c r="B12" s="5">
        <v>8</v>
      </c>
      <c r="C12" s="6" t="s">
        <v>77</v>
      </c>
      <c r="D12" s="6" t="s">
        <v>70</v>
      </c>
      <c r="E12" s="17">
        <v>25.3355625</v>
      </c>
      <c r="F12" s="8">
        <v>146.8884</v>
      </c>
      <c r="G12" s="9">
        <f t="shared" si="0"/>
        <v>3721.500238725</v>
      </c>
    </row>
    <row r="13" spans="2:7" ht="12">
      <c r="B13" s="5">
        <v>9</v>
      </c>
      <c r="C13" s="6" t="s">
        <v>78</v>
      </c>
      <c r="D13" s="6" t="s">
        <v>70</v>
      </c>
      <c r="E13" s="17">
        <v>14.31</v>
      </c>
      <c r="F13" s="18">
        <v>0.01</v>
      </c>
      <c r="G13" s="9">
        <f t="shared" si="0"/>
        <v>0.1431</v>
      </c>
    </row>
    <row r="14" spans="2:7" ht="12">
      <c r="B14" s="5">
        <v>10</v>
      </c>
      <c r="C14" s="6" t="s">
        <v>79</v>
      </c>
      <c r="D14" s="6" t="s">
        <v>70</v>
      </c>
      <c r="E14" s="17">
        <v>11.6216875</v>
      </c>
      <c r="F14" s="8">
        <v>176.5356</v>
      </c>
      <c r="G14" s="9">
        <f t="shared" si="0"/>
        <v>2051.641575825</v>
      </c>
    </row>
    <row r="15" spans="2:7" ht="12">
      <c r="B15" s="5">
        <v>11</v>
      </c>
      <c r="C15" s="6" t="s">
        <v>80</v>
      </c>
      <c r="D15" s="6" t="s">
        <v>70</v>
      </c>
      <c r="E15" s="17">
        <v>3.26</v>
      </c>
      <c r="F15" s="8">
        <v>161.712</v>
      </c>
      <c r="G15" s="9">
        <f t="shared" si="0"/>
        <v>527.18112</v>
      </c>
    </row>
    <row r="16" spans="2:7" ht="12">
      <c r="B16" s="5">
        <v>12</v>
      </c>
      <c r="C16" s="6" t="s">
        <v>81</v>
      </c>
      <c r="D16" s="6" t="s">
        <v>70</v>
      </c>
      <c r="E16" s="17">
        <v>0.79</v>
      </c>
      <c r="F16" s="8">
        <v>176.5356</v>
      </c>
      <c r="G16" s="9">
        <f t="shared" si="0"/>
        <v>139.463124</v>
      </c>
    </row>
    <row r="17" spans="2:7" ht="12">
      <c r="B17" s="5">
        <v>13</v>
      </c>
      <c r="C17" s="6" t="s">
        <v>82</v>
      </c>
      <c r="D17" s="6" t="s">
        <v>70</v>
      </c>
      <c r="E17" s="17">
        <v>15</v>
      </c>
      <c r="F17" s="8">
        <v>161.712</v>
      </c>
      <c r="G17" s="9">
        <f t="shared" si="0"/>
        <v>2425.68</v>
      </c>
    </row>
    <row r="18" spans="2:7" ht="24">
      <c r="B18" s="5">
        <v>14</v>
      </c>
      <c r="C18" s="6" t="s">
        <v>83</v>
      </c>
      <c r="D18" s="6" t="s">
        <v>70</v>
      </c>
      <c r="E18" s="17">
        <v>7.35079994</v>
      </c>
      <c r="F18" s="8">
        <v>146.8884</v>
      </c>
      <c r="G18" s="9">
        <f t="shared" si="0"/>
        <v>1079.747241906696</v>
      </c>
    </row>
    <row r="19" spans="2:7" ht="24">
      <c r="B19" s="5">
        <v>15</v>
      </c>
      <c r="C19" s="6" t="s">
        <v>84</v>
      </c>
      <c r="D19" s="6" t="s">
        <v>70</v>
      </c>
      <c r="E19" s="17">
        <v>0</v>
      </c>
      <c r="F19" s="8">
        <v>161.712</v>
      </c>
      <c r="G19" s="9">
        <f t="shared" si="0"/>
        <v>0</v>
      </c>
    </row>
    <row r="20" spans="2:7" ht="12">
      <c r="B20" s="5">
        <v>16</v>
      </c>
      <c r="C20" s="6" t="s">
        <v>85</v>
      </c>
      <c r="D20" s="6" t="s">
        <v>70</v>
      </c>
      <c r="E20" s="17">
        <v>14</v>
      </c>
      <c r="F20" s="8">
        <v>176.5356</v>
      </c>
      <c r="G20" s="9">
        <f t="shared" si="0"/>
        <v>2471.4984</v>
      </c>
    </row>
    <row r="21" spans="2:7" ht="24">
      <c r="B21" s="5">
        <v>17</v>
      </c>
      <c r="C21" s="6" t="s">
        <v>86</v>
      </c>
      <c r="D21" s="6" t="s">
        <v>70</v>
      </c>
      <c r="E21" s="17">
        <v>25.2</v>
      </c>
      <c r="F21" s="8">
        <v>146.8884</v>
      </c>
      <c r="G21" s="9">
        <f t="shared" si="0"/>
        <v>3701.5876799999996</v>
      </c>
    </row>
    <row r="22" spans="2:7" ht="24">
      <c r="B22" s="5">
        <v>18</v>
      </c>
      <c r="C22" s="6" t="s">
        <v>87</v>
      </c>
      <c r="D22" s="6" t="s">
        <v>70</v>
      </c>
      <c r="E22" s="17">
        <v>2.59658</v>
      </c>
      <c r="F22" s="8">
        <v>176.5356</v>
      </c>
      <c r="G22" s="9">
        <f t="shared" si="0"/>
        <v>458.388808248</v>
      </c>
    </row>
    <row r="23" spans="2:7" ht="12">
      <c r="B23" s="5">
        <v>19</v>
      </c>
      <c r="C23" s="6" t="s">
        <v>88</v>
      </c>
      <c r="D23" s="6" t="s">
        <v>70</v>
      </c>
      <c r="E23" s="17">
        <v>26.5336</v>
      </c>
      <c r="F23" s="8">
        <v>161.712</v>
      </c>
      <c r="G23" s="9">
        <f t="shared" si="0"/>
        <v>4290.8015232</v>
      </c>
    </row>
    <row r="24" spans="2:7" ht="12">
      <c r="B24" s="5">
        <v>20</v>
      </c>
      <c r="C24" s="6" t="s">
        <v>89</v>
      </c>
      <c r="D24" s="6" t="s">
        <v>70</v>
      </c>
      <c r="E24" s="17">
        <v>93.2942</v>
      </c>
      <c r="F24" s="18">
        <v>176.54</v>
      </c>
      <c r="G24" s="9">
        <f t="shared" si="0"/>
        <v>16470.158068</v>
      </c>
    </row>
    <row r="25" spans="2:7" ht="12">
      <c r="B25" s="5">
        <v>21</v>
      </c>
      <c r="C25" s="6" t="s">
        <v>90</v>
      </c>
      <c r="D25" s="6" t="s">
        <v>70</v>
      </c>
      <c r="E25" s="17">
        <v>136.70186</v>
      </c>
      <c r="F25" s="8">
        <v>176.5356</v>
      </c>
      <c r="G25" s="9">
        <f t="shared" si="0"/>
        <v>24132.744876216002</v>
      </c>
    </row>
    <row r="26" spans="2:7" ht="12">
      <c r="B26" s="5">
        <v>22</v>
      </c>
      <c r="C26" s="6" t="s">
        <v>91</v>
      </c>
      <c r="D26" s="6" t="s">
        <v>70</v>
      </c>
      <c r="E26" s="17">
        <v>5.52</v>
      </c>
      <c r="F26" s="8">
        <v>190.0116</v>
      </c>
      <c r="G26" s="9">
        <f t="shared" si="0"/>
        <v>1048.864032</v>
      </c>
    </row>
    <row r="27" spans="2:7" ht="12">
      <c r="B27" s="5">
        <v>23</v>
      </c>
      <c r="C27" s="6" t="s">
        <v>92</v>
      </c>
      <c r="D27" s="6" t="s">
        <v>70</v>
      </c>
      <c r="E27" s="17">
        <v>1.38</v>
      </c>
      <c r="F27" s="8">
        <v>146.8884</v>
      </c>
      <c r="G27" s="9">
        <f t="shared" si="0"/>
        <v>202.70599199999998</v>
      </c>
    </row>
    <row r="28" spans="2:7" ht="12">
      <c r="B28" s="5">
        <v>24</v>
      </c>
      <c r="C28" s="6" t="s">
        <v>93</v>
      </c>
      <c r="D28" s="6" t="s">
        <v>70</v>
      </c>
      <c r="E28" s="17">
        <v>1.38</v>
      </c>
      <c r="F28" s="8">
        <v>161.712</v>
      </c>
      <c r="G28" s="9">
        <f t="shared" si="0"/>
        <v>223.16255999999996</v>
      </c>
    </row>
    <row r="29" spans="2:7" ht="12">
      <c r="B29" s="5">
        <v>25</v>
      </c>
      <c r="C29" s="6" t="s">
        <v>94</v>
      </c>
      <c r="D29" s="6" t="s">
        <v>70</v>
      </c>
      <c r="E29" s="17">
        <v>0</v>
      </c>
      <c r="F29" s="8">
        <v>161.712</v>
      </c>
      <c r="G29" s="9">
        <f t="shared" si="0"/>
        <v>0</v>
      </c>
    </row>
    <row r="30" spans="2:7" ht="12">
      <c r="B30" s="5">
        <v>26</v>
      </c>
      <c r="C30" s="6" t="s">
        <v>95</v>
      </c>
      <c r="D30" s="6" t="s">
        <v>70</v>
      </c>
      <c r="E30" s="17">
        <v>8</v>
      </c>
      <c r="F30" s="8">
        <v>146.8884</v>
      </c>
      <c r="G30" s="9">
        <f t="shared" si="0"/>
        <v>1175.1072</v>
      </c>
    </row>
    <row r="31" spans="2:7" ht="12">
      <c r="B31" s="5">
        <v>27</v>
      </c>
      <c r="C31" s="6" t="s">
        <v>96</v>
      </c>
      <c r="D31" s="6" t="s">
        <v>70</v>
      </c>
      <c r="E31" s="17">
        <v>8</v>
      </c>
      <c r="F31" s="8">
        <v>176.5356</v>
      </c>
      <c r="G31" s="9">
        <f t="shared" si="0"/>
        <v>1412.2848</v>
      </c>
    </row>
    <row r="32" spans="2:7" ht="24">
      <c r="B32" s="5">
        <v>28</v>
      </c>
      <c r="C32" s="6" t="s">
        <v>97</v>
      </c>
      <c r="D32" s="6" t="s">
        <v>98</v>
      </c>
      <c r="E32" s="17">
        <v>2.51658</v>
      </c>
      <c r="F32" s="8">
        <v>190.0116</v>
      </c>
      <c r="G32" s="9">
        <f t="shared" si="0"/>
        <v>478.17939232799995</v>
      </c>
    </row>
    <row r="33" spans="2:7" ht="24">
      <c r="B33" s="5">
        <v>29</v>
      </c>
      <c r="C33" s="6" t="s">
        <v>99</v>
      </c>
      <c r="D33" s="6" t="s">
        <v>70</v>
      </c>
      <c r="E33" s="17">
        <v>4.544</v>
      </c>
      <c r="F33" s="18">
        <v>0.01</v>
      </c>
      <c r="G33" s="9">
        <f t="shared" si="0"/>
        <v>0.045439999999999994</v>
      </c>
    </row>
    <row r="34" spans="2:7" ht="24">
      <c r="B34" s="5">
        <v>30</v>
      </c>
      <c r="C34" s="6" t="s">
        <v>100</v>
      </c>
      <c r="D34" s="6" t="s">
        <v>70</v>
      </c>
      <c r="E34" s="17">
        <v>2.51658</v>
      </c>
      <c r="F34" s="8">
        <v>176.5356</v>
      </c>
      <c r="G34" s="9">
        <f t="shared" si="0"/>
        <v>444.26596024799994</v>
      </c>
    </row>
    <row r="35" spans="2:7" ht="12">
      <c r="B35" s="56" t="s">
        <v>55</v>
      </c>
      <c r="C35" s="57"/>
      <c r="D35" s="57"/>
      <c r="E35" s="57"/>
      <c r="F35" s="58"/>
      <c r="G35" s="10">
        <f>SUM(G5:G34)</f>
        <v>85935.9164475367</v>
      </c>
    </row>
    <row r="36" spans="2:7" ht="15">
      <c r="B36" s="60" t="s">
        <v>101</v>
      </c>
      <c r="C36" s="60"/>
      <c r="D36" s="60"/>
      <c r="E36" s="60"/>
      <c r="F36" s="60"/>
      <c r="G36" s="60"/>
    </row>
    <row r="37" spans="2:7" ht="12">
      <c r="B37" s="13">
        <v>31</v>
      </c>
      <c r="C37" s="14" t="s">
        <v>102</v>
      </c>
      <c r="D37" s="14" t="s">
        <v>103</v>
      </c>
      <c r="E37" s="15">
        <v>0.0105</v>
      </c>
      <c r="F37" s="16">
        <v>437.4003</v>
      </c>
      <c r="G37" s="19">
        <f aca="true" t="shared" si="1" ref="G37:G68">E37*F37</f>
        <v>4.59270315</v>
      </c>
    </row>
    <row r="38" spans="2:7" ht="12">
      <c r="B38" s="5">
        <v>32</v>
      </c>
      <c r="C38" s="6" t="s">
        <v>104</v>
      </c>
      <c r="D38" s="6" t="s">
        <v>105</v>
      </c>
      <c r="E38" s="17">
        <v>0.0067455</v>
      </c>
      <c r="F38" s="8">
        <v>51532.2621</v>
      </c>
      <c r="G38" s="9">
        <f t="shared" si="1"/>
        <v>347.61087399555</v>
      </c>
    </row>
    <row r="39" spans="2:7" ht="24">
      <c r="B39" s="5">
        <v>33</v>
      </c>
      <c r="C39" s="6" t="s">
        <v>106</v>
      </c>
      <c r="D39" s="6" t="s">
        <v>105</v>
      </c>
      <c r="E39" s="17">
        <v>0.018</v>
      </c>
      <c r="F39" s="8">
        <v>69661.4319</v>
      </c>
      <c r="G39" s="9">
        <f t="shared" si="1"/>
        <v>1253.9057741999998</v>
      </c>
    </row>
    <row r="40" spans="2:7" ht="24">
      <c r="B40" s="5">
        <v>34</v>
      </c>
      <c r="C40" s="6" t="s">
        <v>107</v>
      </c>
      <c r="D40" s="6" t="s">
        <v>108</v>
      </c>
      <c r="E40" s="17">
        <v>25</v>
      </c>
      <c r="F40" s="8">
        <v>150.7107</v>
      </c>
      <c r="G40" s="9">
        <f t="shared" si="1"/>
        <v>3767.7675</v>
      </c>
    </row>
    <row r="41" spans="2:7" ht="24">
      <c r="B41" s="5">
        <v>35</v>
      </c>
      <c r="C41" s="6" t="s">
        <v>109</v>
      </c>
      <c r="D41" s="6" t="s">
        <v>108</v>
      </c>
      <c r="E41" s="17">
        <v>2</v>
      </c>
      <c r="F41" s="8">
        <v>4341.4692000000005</v>
      </c>
      <c r="G41" s="9">
        <f t="shared" si="1"/>
        <v>8682.938400000001</v>
      </c>
    </row>
    <row r="42" spans="2:7" ht="12">
      <c r="B42" s="5">
        <v>36</v>
      </c>
      <c r="C42" s="6" t="s">
        <v>110</v>
      </c>
      <c r="D42" s="6" t="s">
        <v>105</v>
      </c>
      <c r="E42" s="17">
        <v>0.0002375</v>
      </c>
      <c r="F42" s="8">
        <v>110646.396</v>
      </c>
      <c r="G42" s="9">
        <f t="shared" si="1"/>
        <v>26.27851905</v>
      </c>
    </row>
    <row r="43" spans="2:7" ht="12">
      <c r="B43" s="5">
        <v>37</v>
      </c>
      <c r="C43" s="6" t="s">
        <v>111</v>
      </c>
      <c r="D43" s="6" t="s">
        <v>112</v>
      </c>
      <c r="E43" s="17">
        <v>0.503886</v>
      </c>
      <c r="F43" s="8">
        <v>22.4847</v>
      </c>
      <c r="G43" s="9">
        <f t="shared" si="1"/>
        <v>11.329725544199999</v>
      </c>
    </row>
    <row r="44" spans="2:7" ht="12">
      <c r="B44" s="5">
        <v>38</v>
      </c>
      <c r="C44" s="6" t="s">
        <v>113</v>
      </c>
      <c r="D44" s="6" t="s">
        <v>103</v>
      </c>
      <c r="E44" s="17">
        <v>25.66</v>
      </c>
      <c r="F44" s="18">
        <v>19.21</v>
      </c>
      <c r="G44" s="9">
        <f t="shared" si="1"/>
        <v>492.9286</v>
      </c>
    </row>
    <row r="45" spans="2:7" ht="12">
      <c r="B45" s="5">
        <v>39</v>
      </c>
      <c r="C45" s="6" t="s">
        <v>114</v>
      </c>
      <c r="D45" s="6" t="s">
        <v>105</v>
      </c>
      <c r="E45" s="17">
        <v>0.0001072</v>
      </c>
      <c r="F45" s="8">
        <v>46738.970400000006</v>
      </c>
      <c r="G45" s="9">
        <f t="shared" si="1"/>
        <v>5.010417626880001</v>
      </c>
    </row>
    <row r="46" spans="2:7" ht="12">
      <c r="B46" s="5">
        <v>40</v>
      </c>
      <c r="C46" s="6" t="s">
        <v>115</v>
      </c>
      <c r="D46" s="6" t="s">
        <v>105</v>
      </c>
      <c r="E46" s="17">
        <v>0.0002685</v>
      </c>
      <c r="F46" s="8">
        <v>46738.970400000006</v>
      </c>
      <c r="G46" s="9">
        <f t="shared" si="1"/>
        <v>12.549413552400003</v>
      </c>
    </row>
    <row r="47" spans="2:7" ht="12">
      <c r="B47" s="5">
        <v>41</v>
      </c>
      <c r="C47" s="6" t="s">
        <v>116</v>
      </c>
      <c r="D47" s="6" t="s">
        <v>105</v>
      </c>
      <c r="E47" s="17">
        <v>0.088</v>
      </c>
      <c r="F47" s="8">
        <v>5427.4686</v>
      </c>
      <c r="G47" s="9">
        <f t="shared" si="1"/>
        <v>477.6172368</v>
      </c>
    </row>
    <row r="48" spans="2:7" ht="12">
      <c r="B48" s="5">
        <v>42</v>
      </c>
      <c r="C48" s="6" t="s">
        <v>117</v>
      </c>
      <c r="D48" s="6" t="s">
        <v>112</v>
      </c>
      <c r="E48" s="17">
        <v>1.73398</v>
      </c>
      <c r="F48" s="8">
        <v>56.760000000000005</v>
      </c>
      <c r="G48" s="9">
        <f t="shared" si="1"/>
        <v>98.42070480000001</v>
      </c>
    </row>
    <row r="49" spans="2:7" ht="12">
      <c r="B49" s="5">
        <v>43</v>
      </c>
      <c r="C49" s="6" t="s">
        <v>118</v>
      </c>
      <c r="D49" s="6" t="s">
        <v>108</v>
      </c>
      <c r="E49" s="17">
        <v>0</v>
      </c>
      <c r="F49" s="8">
        <v>2335.1967</v>
      </c>
      <c r="G49" s="9">
        <f t="shared" si="1"/>
        <v>0</v>
      </c>
    </row>
    <row r="50" spans="2:7" ht="24">
      <c r="B50" s="5">
        <v>44</v>
      </c>
      <c r="C50" s="6" t="s">
        <v>119</v>
      </c>
      <c r="D50" s="6" t="s">
        <v>120</v>
      </c>
      <c r="E50" s="17">
        <v>0.0358</v>
      </c>
      <c r="F50" s="8">
        <v>13302.905700000001</v>
      </c>
      <c r="G50" s="9">
        <f t="shared" si="1"/>
        <v>476.24402406</v>
      </c>
    </row>
    <row r="51" spans="2:7" ht="24">
      <c r="B51" s="5">
        <v>45</v>
      </c>
      <c r="C51" s="6" t="s">
        <v>121</v>
      </c>
      <c r="D51" s="6" t="s">
        <v>122</v>
      </c>
      <c r="E51" s="17">
        <v>0.052</v>
      </c>
      <c r="F51" s="8">
        <v>1852.3239</v>
      </c>
      <c r="G51" s="9">
        <f t="shared" si="1"/>
        <v>96.3208428</v>
      </c>
    </row>
    <row r="52" spans="2:7" ht="12">
      <c r="B52" s="5">
        <v>46</v>
      </c>
      <c r="C52" s="6" t="s">
        <v>123</v>
      </c>
      <c r="D52" s="6" t="s">
        <v>124</v>
      </c>
      <c r="E52" s="17">
        <v>0.38</v>
      </c>
      <c r="F52" s="8">
        <v>22.188</v>
      </c>
      <c r="G52" s="9">
        <f t="shared" si="1"/>
        <v>8.43144</v>
      </c>
    </row>
    <row r="53" spans="2:7" ht="12">
      <c r="B53" s="5">
        <v>47</v>
      </c>
      <c r="C53" s="6" t="s">
        <v>125</v>
      </c>
      <c r="D53" s="6" t="s">
        <v>105</v>
      </c>
      <c r="E53" s="17">
        <v>0.0026712</v>
      </c>
      <c r="F53" s="8">
        <v>2714.6760000000004</v>
      </c>
      <c r="G53" s="9">
        <f t="shared" si="1"/>
        <v>7.2514425312</v>
      </c>
    </row>
    <row r="54" spans="2:7" ht="12">
      <c r="B54" s="5">
        <v>48</v>
      </c>
      <c r="C54" s="6" t="s">
        <v>126</v>
      </c>
      <c r="D54" s="6" t="s">
        <v>112</v>
      </c>
      <c r="E54" s="17">
        <v>0.13</v>
      </c>
      <c r="F54" s="8">
        <v>13.3644</v>
      </c>
      <c r="G54" s="9">
        <f t="shared" si="1"/>
        <v>1.7373720000000001</v>
      </c>
    </row>
    <row r="55" spans="2:7" ht="12">
      <c r="B55" s="5">
        <v>49</v>
      </c>
      <c r="C55" s="6" t="s">
        <v>127</v>
      </c>
      <c r="D55" s="6" t="s">
        <v>112</v>
      </c>
      <c r="E55" s="17">
        <v>1.224</v>
      </c>
      <c r="F55" s="8">
        <v>257.40659999999997</v>
      </c>
      <c r="G55" s="9">
        <f t="shared" si="1"/>
        <v>315.06567839999997</v>
      </c>
    </row>
    <row r="56" spans="2:7" ht="12">
      <c r="B56" s="5">
        <v>50</v>
      </c>
      <c r="C56" s="6" t="s">
        <v>128</v>
      </c>
      <c r="D56" s="6" t="s">
        <v>105</v>
      </c>
      <c r="E56" s="17">
        <v>0.001</v>
      </c>
      <c r="F56" s="8">
        <v>57123.3285</v>
      </c>
      <c r="G56" s="9">
        <f t="shared" si="1"/>
        <v>57.12332850000001</v>
      </c>
    </row>
    <row r="57" spans="2:7" ht="12">
      <c r="B57" s="5">
        <v>51</v>
      </c>
      <c r="C57" s="6" t="s">
        <v>129</v>
      </c>
      <c r="D57" s="6" t="s">
        <v>103</v>
      </c>
      <c r="E57" s="17">
        <v>0.024</v>
      </c>
      <c r="F57" s="8">
        <v>64.1259</v>
      </c>
      <c r="G57" s="9">
        <f t="shared" si="1"/>
        <v>1.5390216</v>
      </c>
    </row>
    <row r="58" spans="2:7" ht="12">
      <c r="B58" s="5">
        <v>52</v>
      </c>
      <c r="C58" s="6" t="s">
        <v>130</v>
      </c>
      <c r="D58" s="6" t="s">
        <v>108</v>
      </c>
      <c r="E58" s="17">
        <v>0.5</v>
      </c>
      <c r="F58" s="8">
        <v>595.8639000000001</v>
      </c>
      <c r="G58" s="9">
        <f t="shared" si="1"/>
        <v>297.93195000000003</v>
      </c>
    </row>
    <row r="59" spans="2:7" ht="24">
      <c r="B59" s="5">
        <v>53</v>
      </c>
      <c r="C59" s="6" t="s">
        <v>131</v>
      </c>
      <c r="D59" s="6" t="s">
        <v>108</v>
      </c>
      <c r="E59" s="17">
        <v>1</v>
      </c>
      <c r="F59" s="8">
        <v>170.0091</v>
      </c>
      <c r="G59" s="9">
        <f t="shared" si="1"/>
        <v>170.0091</v>
      </c>
    </row>
    <row r="60" spans="2:7" ht="12">
      <c r="B60" s="5">
        <v>54</v>
      </c>
      <c r="C60" s="6" t="s">
        <v>132</v>
      </c>
      <c r="D60" s="6" t="s">
        <v>105</v>
      </c>
      <c r="E60" s="17">
        <v>0.000348</v>
      </c>
      <c r="F60" s="8">
        <v>43616.202900000004</v>
      </c>
      <c r="G60" s="9">
        <f t="shared" si="1"/>
        <v>15.178438609200002</v>
      </c>
    </row>
    <row r="61" spans="2:7" ht="12">
      <c r="B61" s="5">
        <v>55</v>
      </c>
      <c r="C61" s="6" t="s">
        <v>133</v>
      </c>
      <c r="D61" s="6" t="s">
        <v>105</v>
      </c>
      <c r="E61" s="17">
        <v>0.0016921</v>
      </c>
      <c r="F61" s="8">
        <v>69742.66320000001</v>
      </c>
      <c r="G61" s="9">
        <f t="shared" si="1"/>
        <v>118.01156040072001</v>
      </c>
    </row>
    <row r="62" spans="2:7" ht="12">
      <c r="B62" s="5">
        <v>56</v>
      </c>
      <c r="C62" s="6" t="s">
        <v>134</v>
      </c>
      <c r="D62" s="6" t="s">
        <v>105</v>
      </c>
      <c r="E62" s="17">
        <v>0.0004</v>
      </c>
      <c r="F62" s="18">
        <v>0.01</v>
      </c>
      <c r="G62" s="9">
        <f t="shared" si="1"/>
        <v>4.000000000000001E-06</v>
      </c>
    </row>
    <row r="63" spans="2:7" ht="24">
      <c r="B63" s="5">
        <v>57</v>
      </c>
      <c r="C63" s="6" t="s">
        <v>135</v>
      </c>
      <c r="D63" s="6" t="s">
        <v>105</v>
      </c>
      <c r="E63" s="17">
        <v>0.0023808</v>
      </c>
      <c r="F63" s="8">
        <v>65606.2524</v>
      </c>
      <c r="G63" s="9">
        <f t="shared" si="1"/>
        <v>156.19536571392</v>
      </c>
    </row>
    <row r="64" spans="2:7" ht="12">
      <c r="B64" s="5">
        <v>58</v>
      </c>
      <c r="C64" s="6" t="s">
        <v>136</v>
      </c>
      <c r="D64" s="6" t="s">
        <v>105</v>
      </c>
      <c r="E64" s="17">
        <v>0.00118932</v>
      </c>
      <c r="F64" s="8">
        <v>43306.7319</v>
      </c>
      <c r="G64" s="9">
        <f t="shared" si="1"/>
        <v>51.505562383307996</v>
      </c>
    </row>
    <row r="65" spans="2:7" ht="12">
      <c r="B65" s="5">
        <v>59</v>
      </c>
      <c r="C65" s="6" t="s">
        <v>137</v>
      </c>
      <c r="D65" s="6" t="s">
        <v>112</v>
      </c>
      <c r="E65" s="17">
        <v>1.9</v>
      </c>
      <c r="F65" s="8">
        <v>49.8843</v>
      </c>
      <c r="G65" s="9">
        <f t="shared" si="1"/>
        <v>94.78017</v>
      </c>
    </row>
    <row r="66" spans="2:7" ht="12">
      <c r="B66" s="5">
        <v>60</v>
      </c>
      <c r="C66" s="6" t="s">
        <v>138</v>
      </c>
      <c r="D66" s="6" t="s">
        <v>105</v>
      </c>
      <c r="E66" s="17">
        <v>5.94E-05</v>
      </c>
      <c r="F66" s="8">
        <v>112377.6792</v>
      </c>
      <c r="G66" s="9">
        <f t="shared" si="1"/>
        <v>6.67523414448</v>
      </c>
    </row>
    <row r="67" spans="2:7" ht="12">
      <c r="B67" s="5">
        <v>61</v>
      </c>
      <c r="C67" s="6" t="s">
        <v>139</v>
      </c>
      <c r="D67" s="6" t="s">
        <v>124</v>
      </c>
      <c r="E67" s="17">
        <v>6.4</v>
      </c>
      <c r="F67" s="8">
        <v>201.0078</v>
      </c>
      <c r="G67" s="9">
        <f t="shared" si="1"/>
        <v>1286.44992</v>
      </c>
    </row>
    <row r="68" spans="2:7" ht="12">
      <c r="B68" s="5">
        <v>62</v>
      </c>
      <c r="C68" s="6" t="s">
        <v>140</v>
      </c>
      <c r="D68" s="6" t="s">
        <v>112</v>
      </c>
      <c r="E68" s="17">
        <v>0.2</v>
      </c>
      <c r="F68" s="8">
        <v>790.0088999999999</v>
      </c>
      <c r="G68" s="9">
        <f t="shared" si="1"/>
        <v>158.00178</v>
      </c>
    </row>
    <row r="69" spans="2:7" ht="24">
      <c r="B69" s="5">
        <v>63</v>
      </c>
      <c r="C69" s="6" t="s">
        <v>141</v>
      </c>
      <c r="D69" s="6" t="s">
        <v>142</v>
      </c>
      <c r="E69" s="17">
        <v>24.165</v>
      </c>
      <c r="F69" s="8">
        <v>115.5969</v>
      </c>
      <c r="G69" s="9">
        <f aca="true" t="shared" si="2" ref="G69:G100">E69*F69</f>
        <v>2793.3990885</v>
      </c>
    </row>
    <row r="70" spans="2:7" ht="12">
      <c r="B70" s="5">
        <v>64</v>
      </c>
      <c r="C70" s="6" t="s">
        <v>143</v>
      </c>
      <c r="D70" s="6" t="s">
        <v>144</v>
      </c>
      <c r="E70" s="17">
        <v>1</v>
      </c>
      <c r="F70" s="18">
        <v>0.01</v>
      </c>
      <c r="G70" s="9">
        <f t="shared" si="2"/>
        <v>0.01</v>
      </c>
    </row>
    <row r="71" spans="2:7" ht="12">
      <c r="B71" s="5">
        <v>65</v>
      </c>
      <c r="C71" s="6" t="s">
        <v>145</v>
      </c>
      <c r="D71" s="6" t="s">
        <v>105</v>
      </c>
      <c r="E71" s="17">
        <v>0.00015</v>
      </c>
      <c r="F71" s="8">
        <v>66888.77040000001</v>
      </c>
      <c r="G71" s="9">
        <f t="shared" si="2"/>
        <v>10.03331556</v>
      </c>
    </row>
    <row r="72" spans="2:7" ht="12">
      <c r="B72" s="5">
        <v>66</v>
      </c>
      <c r="C72" s="6" t="s">
        <v>146</v>
      </c>
      <c r="D72" s="6" t="s">
        <v>105</v>
      </c>
      <c r="E72" s="17">
        <v>0.0008</v>
      </c>
      <c r="F72" s="18">
        <v>0.01</v>
      </c>
      <c r="G72" s="9">
        <f t="shared" si="2"/>
        <v>8.000000000000001E-06</v>
      </c>
    </row>
    <row r="73" spans="2:7" ht="12">
      <c r="B73" s="5">
        <v>67</v>
      </c>
      <c r="C73" s="6" t="s">
        <v>147</v>
      </c>
      <c r="D73" s="6" t="s">
        <v>108</v>
      </c>
      <c r="E73" s="17">
        <v>7.6024</v>
      </c>
      <c r="F73" s="8">
        <v>3.7152</v>
      </c>
      <c r="G73" s="9">
        <f t="shared" si="2"/>
        <v>28.24443648</v>
      </c>
    </row>
    <row r="74" spans="2:7" ht="12">
      <c r="B74" s="5">
        <v>68</v>
      </c>
      <c r="C74" s="6" t="s">
        <v>148</v>
      </c>
      <c r="D74" s="6" t="s">
        <v>112</v>
      </c>
      <c r="E74" s="17">
        <v>0.3498</v>
      </c>
      <c r="F74" s="8">
        <v>37.6035</v>
      </c>
      <c r="G74" s="9">
        <f t="shared" si="2"/>
        <v>13.1537043</v>
      </c>
    </row>
    <row r="75" spans="2:7" ht="24">
      <c r="B75" s="5">
        <v>69</v>
      </c>
      <c r="C75" s="6" t="s">
        <v>149</v>
      </c>
      <c r="D75" s="6" t="s">
        <v>105</v>
      </c>
      <c r="E75" s="17">
        <v>7.5E-05</v>
      </c>
      <c r="F75" s="8">
        <v>368547.0402</v>
      </c>
      <c r="G75" s="9">
        <f t="shared" si="2"/>
        <v>27.641028014999996</v>
      </c>
    </row>
    <row r="76" spans="2:7" ht="12">
      <c r="B76" s="5">
        <v>70</v>
      </c>
      <c r="C76" s="6" t="s">
        <v>150</v>
      </c>
      <c r="D76" s="6" t="s">
        <v>105</v>
      </c>
      <c r="E76" s="17">
        <v>0.0004</v>
      </c>
      <c r="F76" s="8">
        <v>33255.4389</v>
      </c>
      <c r="G76" s="9">
        <f t="shared" si="2"/>
        <v>13.30217556</v>
      </c>
    </row>
    <row r="77" spans="2:7" ht="12">
      <c r="B77" s="5">
        <v>71</v>
      </c>
      <c r="C77" s="6" t="s">
        <v>151</v>
      </c>
      <c r="D77" s="6" t="s">
        <v>108</v>
      </c>
      <c r="E77" s="17">
        <v>0.5</v>
      </c>
      <c r="F77" s="8">
        <v>76.8066</v>
      </c>
      <c r="G77" s="9">
        <f t="shared" si="2"/>
        <v>38.4033</v>
      </c>
    </row>
    <row r="78" spans="2:7" ht="12">
      <c r="B78" s="5">
        <v>72</v>
      </c>
      <c r="C78" s="6" t="s">
        <v>152</v>
      </c>
      <c r="D78" s="6" t="s">
        <v>105</v>
      </c>
      <c r="E78" s="17">
        <v>0.0013888</v>
      </c>
      <c r="F78" s="8">
        <v>39357.9</v>
      </c>
      <c r="G78" s="9">
        <f t="shared" si="2"/>
        <v>54.66025152</v>
      </c>
    </row>
    <row r="79" spans="2:7" ht="12">
      <c r="B79" s="5">
        <v>73</v>
      </c>
      <c r="C79" s="6" t="s">
        <v>153</v>
      </c>
      <c r="D79" s="6" t="s">
        <v>112</v>
      </c>
      <c r="E79" s="17">
        <v>7.68489</v>
      </c>
      <c r="F79" s="8">
        <v>116.5644</v>
      </c>
      <c r="G79" s="9">
        <f t="shared" si="2"/>
        <v>895.7845919160001</v>
      </c>
    </row>
    <row r="80" spans="2:7" ht="12">
      <c r="B80" s="5">
        <v>74</v>
      </c>
      <c r="C80" s="6" t="s">
        <v>154</v>
      </c>
      <c r="D80" s="6" t="s">
        <v>112</v>
      </c>
      <c r="E80" s="17">
        <v>0.144</v>
      </c>
      <c r="F80" s="8">
        <v>64.15169999999999</v>
      </c>
      <c r="G80" s="9">
        <f t="shared" si="2"/>
        <v>9.237844799999998</v>
      </c>
    </row>
    <row r="81" spans="2:7" ht="12">
      <c r="B81" s="5">
        <v>75</v>
      </c>
      <c r="C81" s="6" t="s">
        <v>155</v>
      </c>
      <c r="D81" s="6" t="s">
        <v>105</v>
      </c>
      <c r="E81" s="17">
        <v>0.0018</v>
      </c>
      <c r="F81" s="18">
        <v>0.01</v>
      </c>
      <c r="G81" s="9">
        <f t="shared" si="2"/>
        <v>1.8E-05</v>
      </c>
    </row>
    <row r="82" spans="2:7" ht="12">
      <c r="B82" s="5">
        <v>76</v>
      </c>
      <c r="C82" s="6" t="s">
        <v>156</v>
      </c>
      <c r="D82" s="6" t="s">
        <v>105</v>
      </c>
      <c r="E82" s="17">
        <v>0.0157728</v>
      </c>
      <c r="F82" s="8">
        <v>8059.146</v>
      </c>
      <c r="G82" s="9">
        <f t="shared" si="2"/>
        <v>127.1152980288</v>
      </c>
    </row>
    <row r="83" spans="2:7" ht="24">
      <c r="B83" s="5">
        <v>77</v>
      </c>
      <c r="C83" s="6" t="s">
        <v>157</v>
      </c>
      <c r="D83" s="6" t="s">
        <v>103</v>
      </c>
      <c r="E83" s="17">
        <v>0.00036708</v>
      </c>
      <c r="F83" s="8">
        <v>962.0690999999999</v>
      </c>
      <c r="G83" s="9">
        <f t="shared" si="2"/>
        <v>0.35315632522799995</v>
      </c>
    </row>
    <row r="84" spans="2:7" ht="12">
      <c r="B84" s="5">
        <v>78</v>
      </c>
      <c r="C84" s="6" t="s">
        <v>158</v>
      </c>
      <c r="D84" s="6" t="s">
        <v>108</v>
      </c>
      <c r="E84" s="17">
        <v>0.5</v>
      </c>
      <c r="F84" s="8">
        <v>340.76640000000003</v>
      </c>
      <c r="G84" s="9">
        <f t="shared" si="2"/>
        <v>170.38320000000002</v>
      </c>
    </row>
    <row r="85" spans="2:7" ht="12">
      <c r="B85" s="5">
        <v>79</v>
      </c>
      <c r="C85" s="6" t="s">
        <v>159</v>
      </c>
      <c r="D85" s="6" t="s">
        <v>108</v>
      </c>
      <c r="E85" s="17">
        <v>0</v>
      </c>
      <c r="F85" s="8">
        <v>54.6057</v>
      </c>
      <c r="G85" s="9">
        <f t="shared" si="2"/>
        <v>0</v>
      </c>
    </row>
    <row r="86" spans="2:7" ht="12">
      <c r="B86" s="5">
        <v>80</v>
      </c>
      <c r="C86" s="6" t="s">
        <v>160</v>
      </c>
      <c r="D86" s="6" t="s">
        <v>112</v>
      </c>
      <c r="E86" s="17">
        <v>0.38202</v>
      </c>
      <c r="F86" s="8">
        <v>176.1237</v>
      </c>
      <c r="G86" s="9">
        <f t="shared" si="2"/>
        <v>67.28277587400001</v>
      </c>
    </row>
    <row r="87" spans="2:7" ht="12">
      <c r="B87" s="5">
        <v>81</v>
      </c>
      <c r="C87" s="6" t="s">
        <v>161</v>
      </c>
      <c r="D87" s="6" t="s">
        <v>105</v>
      </c>
      <c r="E87" s="17">
        <v>0.00179</v>
      </c>
      <c r="F87" s="8">
        <v>42504.8808</v>
      </c>
      <c r="G87" s="9">
        <f t="shared" si="2"/>
        <v>76.083736632</v>
      </c>
    </row>
    <row r="88" spans="2:7" ht="24">
      <c r="B88" s="5">
        <v>82</v>
      </c>
      <c r="C88" s="6" t="s">
        <v>162</v>
      </c>
      <c r="D88" s="6" t="s">
        <v>112</v>
      </c>
      <c r="E88" s="17">
        <v>0.895</v>
      </c>
      <c r="F88" s="8">
        <v>79.24470000000001</v>
      </c>
      <c r="G88" s="9">
        <f t="shared" si="2"/>
        <v>70.9240065</v>
      </c>
    </row>
    <row r="89" spans="2:7" ht="12">
      <c r="B89" s="5">
        <v>83</v>
      </c>
      <c r="C89" s="6" t="s">
        <v>163</v>
      </c>
      <c r="D89" s="6" t="s">
        <v>108</v>
      </c>
      <c r="E89" s="17">
        <v>89.5</v>
      </c>
      <c r="F89" s="8">
        <v>2.7606</v>
      </c>
      <c r="G89" s="9">
        <f t="shared" si="2"/>
        <v>247.0737</v>
      </c>
    </row>
    <row r="90" spans="2:7" ht="12">
      <c r="B90" s="5">
        <v>84</v>
      </c>
      <c r="C90" s="6" t="s">
        <v>164</v>
      </c>
      <c r="D90" s="6" t="s">
        <v>103</v>
      </c>
      <c r="E90" s="17">
        <v>0.95</v>
      </c>
      <c r="F90" s="8">
        <v>3547.1775000000002</v>
      </c>
      <c r="G90" s="9">
        <f t="shared" si="2"/>
        <v>3369.818625</v>
      </c>
    </row>
    <row r="91" spans="2:7" ht="12">
      <c r="B91" s="5">
        <v>85</v>
      </c>
      <c r="C91" s="6" t="s">
        <v>165</v>
      </c>
      <c r="D91" s="6" t="s">
        <v>103</v>
      </c>
      <c r="E91" s="17">
        <v>0.0192</v>
      </c>
      <c r="F91" s="8">
        <v>3161.6352</v>
      </c>
      <c r="G91" s="9">
        <f t="shared" si="2"/>
        <v>60.70339584</v>
      </c>
    </row>
    <row r="92" spans="2:7" ht="12">
      <c r="B92" s="5">
        <v>86</v>
      </c>
      <c r="C92" s="6" t="s">
        <v>166</v>
      </c>
      <c r="D92" s="6" t="s">
        <v>103</v>
      </c>
      <c r="E92" s="17">
        <v>0.12</v>
      </c>
      <c r="F92" s="8">
        <v>5755.3608</v>
      </c>
      <c r="G92" s="9">
        <f t="shared" si="2"/>
        <v>690.643296</v>
      </c>
    </row>
    <row r="93" spans="2:7" ht="12">
      <c r="B93" s="5">
        <v>87</v>
      </c>
      <c r="C93" s="6" t="s">
        <v>167</v>
      </c>
      <c r="D93" s="6" t="s">
        <v>103</v>
      </c>
      <c r="E93" s="17">
        <v>0.1848</v>
      </c>
      <c r="F93" s="8">
        <v>3113.3246999999997</v>
      </c>
      <c r="G93" s="9">
        <f t="shared" si="2"/>
        <v>575.3424045599999</v>
      </c>
    </row>
    <row r="94" spans="2:7" ht="12">
      <c r="B94" s="5">
        <v>88</v>
      </c>
      <c r="C94" s="6" t="s">
        <v>168</v>
      </c>
      <c r="D94" s="6" t="s">
        <v>112</v>
      </c>
      <c r="E94" s="17">
        <v>7.2</v>
      </c>
      <c r="F94" s="8">
        <v>96.6855</v>
      </c>
      <c r="G94" s="9">
        <f t="shared" si="2"/>
        <v>696.1356000000001</v>
      </c>
    </row>
    <row r="95" spans="2:7" ht="12">
      <c r="B95" s="5">
        <v>89</v>
      </c>
      <c r="C95" s="6" t="s">
        <v>169</v>
      </c>
      <c r="D95" s="6" t="s">
        <v>108</v>
      </c>
      <c r="E95" s="17">
        <v>40</v>
      </c>
      <c r="F95" s="8">
        <v>41.8476</v>
      </c>
      <c r="G95" s="9">
        <f t="shared" si="2"/>
        <v>1673.904</v>
      </c>
    </row>
    <row r="96" spans="2:7" ht="12">
      <c r="B96" s="5">
        <v>90</v>
      </c>
      <c r="C96" s="6" t="s">
        <v>170</v>
      </c>
      <c r="D96" s="6" t="s">
        <v>142</v>
      </c>
      <c r="E96" s="17">
        <v>2.6</v>
      </c>
      <c r="F96" s="8">
        <v>167.7387</v>
      </c>
      <c r="G96" s="9">
        <f t="shared" si="2"/>
        <v>436.12062</v>
      </c>
    </row>
    <row r="97" spans="2:7" ht="12">
      <c r="B97" s="5">
        <v>91</v>
      </c>
      <c r="C97" s="6" t="s">
        <v>171</v>
      </c>
      <c r="D97" s="6" t="s">
        <v>108</v>
      </c>
      <c r="E97" s="17">
        <v>4</v>
      </c>
      <c r="F97" s="8">
        <v>455.66670000000005</v>
      </c>
      <c r="G97" s="9">
        <f t="shared" si="2"/>
        <v>1822.6668000000002</v>
      </c>
    </row>
    <row r="98" spans="2:7" ht="24">
      <c r="B98" s="5">
        <v>92</v>
      </c>
      <c r="C98" s="6" t="s">
        <v>172</v>
      </c>
      <c r="D98" s="6" t="s">
        <v>142</v>
      </c>
      <c r="E98" s="17">
        <v>2.06</v>
      </c>
      <c r="F98" s="8">
        <v>206.4</v>
      </c>
      <c r="G98" s="9">
        <f t="shared" si="2"/>
        <v>425.184</v>
      </c>
    </row>
    <row r="99" spans="2:7" ht="24">
      <c r="B99" s="5">
        <v>93</v>
      </c>
      <c r="C99" s="6" t="s">
        <v>173</v>
      </c>
      <c r="D99" s="6" t="s">
        <v>144</v>
      </c>
      <c r="E99" s="17">
        <v>1</v>
      </c>
      <c r="F99" s="18">
        <v>0.01</v>
      </c>
      <c r="G99" s="9">
        <f t="shared" si="2"/>
        <v>0.01</v>
      </c>
    </row>
    <row r="100" spans="2:7" ht="12">
      <c r="B100" s="5">
        <v>94</v>
      </c>
      <c r="C100" s="6" t="s">
        <v>174</v>
      </c>
      <c r="D100" s="6" t="s">
        <v>142</v>
      </c>
      <c r="E100" s="17">
        <v>4</v>
      </c>
      <c r="F100" s="8">
        <v>56.0118</v>
      </c>
      <c r="G100" s="9">
        <f t="shared" si="2"/>
        <v>224.0472</v>
      </c>
    </row>
    <row r="101" spans="2:7" ht="36">
      <c r="B101" s="5">
        <v>95</v>
      </c>
      <c r="C101" s="6" t="s">
        <v>175</v>
      </c>
      <c r="D101" s="6" t="s">
        <v>105</v>
      </c>
      <c r="E101" s="17">
        <v>0.022</v>
      </c>
      <c r="F101" s="18">
        <v>0.01</v>
      </c>
      <c r="G101" s="9">
        <f aca="true" t="shared" si="3" ref="G101:G116">E101*F101</f>
        <v>0.00021999999999999998</v>
      </c>
    </row>
    <row r="102" spans="2:7" ht="12">
      <c r="B102" s="5">
        <v>96</v>
      </c>
      <c r="C102" s="6" t="s">
        <v>176</v>
      </c>
      <c r="D102" s="6" t="s">
        <v>108</v>
      </c>
      <c r="E102" s="17">
        <v>0.25</v>
      </c>
      <c r="F102" s="8">
        <v>293.733</v>
      </c>
      <c r="G102" s="9">
        <f t="shared" si="3"/>
        <v>73.43325</v>
      </c>
    </row>
    <row r="103" spans="2:7" ht="12">
      <c r="B103" s="5">
        <v>97</v>
      </c>
      <c r="C103" s="6" t="s">
        <v>177</v>
      </c>
      <c r="D103" s="6" t="s">
        <v>178</v>
      </c>
      <c r="E103" s="17">
        <v>0.65</v>
      </c>
      <c r="F103" s="8">
        <v>32.8821</v>
      </c>
      <c r="G103" s="9">
        <f t="shared" si="3"/>
        <v>21.373365000000003</v>
      </c>
    </row>
    <row r="104" spans="2:7" ht="12">
      <c r="B104" s="5">
        <v>98</v>
      </c>
      <c r="C104" s="6" t="s">
        <v>179</v>
      </c>
      <c r="D104" s="6" t="s">
        <v>180</v>
      </c>
      <c r="E104" s="17">
        <v>4.89</v>
      </c>
      <c r="F104" s="8">
        <v>193.5129</v>
      </c>
      <c r="G104" s="9">
        <f t="shared" si="3"/>
        <v>946.2780809999999</v>
      </c>
    </row>
    <row r="105" spans="2:7" ht="12">
      <c r="B105" s="5">
        <v>99</v>
      </c>
      <c r="C105" s="6" t="s">
        <v>181</v>
      </c>
      <c r="D105" s="6" t="s">
        <v>180</v>
      </c>
      <c r="E105" s="17">
        <v>4.99</v>
      </c>
      <c r="F105" s="8">
        <v>382.2012</v>
      </c>
      <c r="G105" s="9">
        <f t="shared" si="3"/>
        <v>1907.183988</v>
      </c>
    </row>
    <row r="106" spans="2:7" ht="12">
      <c r="B106" s="5">
        <v>100</v>
      </c>
      <c r="C106" s="6" t="s">
        <v>182</v>
      </c>
      <c r="D106" s="6" t="s">
        <v>108</v>
      </c>
      <c r="E106" s="17">
        <v>0.5</v>
      </c>
      <c r="F106" s="8">
        <v>266.5398</v>
      </c>
      <c r="G106" s="9">
        <f t="shared" si="3"/>
        <v>133.2699</v>
      </c>
    </row>
    <row r="107" spans="2:7" ht="12">
      <c r="B107" s="5">
        <v>101</v>
      </c>
      <c r="C107" s="6" t="s">
        <v>183</v>
      </c>
      <c r="D107" s="6" t="s">
        <v>184</v>
      </c>
      <c r="E107" s="17">
        <v>0.0085</v>
      </c>
      <c r="F107" s="8">
        <v>84124.4088</v>
      </c>
      <c r="G107" s="9">
        <f t="shared" si="3"/>
        <v>715.0574748000001</v>
      </c>
    </row>
    <row r="108" spans="2:7" ht="24">
      <c r="B108" s="5">
        <v>102</v>
      </c>
      <c r="C108" s="6" t="s">
        <v>185</v>
      </c>
      <c r="D108" s="6" t="s">
        <v>108</v>
      </c>
      <c r="E108" s="17">
        <v>2.5</v>
      </c>
      <c r="F108" s="8">
        <v>19.5306</v>
      </c>
      <c r="G108" s="9">
        <f t="shared" si="3"/>
        <v>48.826499999999996</v>
      </c>
    </row>
    <row r="109" spans="2:7" ht="12">
      <c r="B109" s="5">
        <v>103</v>
      </c>
      <c r="C109" s="6" t="s">
        <v>186</v>
      </c>
      <c r="D109" s="6" t="s">
        <v>105</v>
      </c>
      <c r="E109" s="17">
        <v>0.00255</v>
      </c>
      <c r="F109" s="8">
        <v>25179.3423</v>
      </c>
      <c r="G109" s="9">
        <f t="shared" si="3"/>
        <v>64.20732286500001</v>
      </c>
    </row>
    <row r="110" spans="2:7" ht="12">
      <c r="B110" s="5">
        <v>104</v>
      </c>
      <c r="C110" s="6" t="s">
        <v>187</v>
      </c>
      <c r="D110" s="6" t="s">
        <v>108</v>
      </c>
      <c r="E110" s="17">
        <v>89.5</v>
      </c>
      <c r="F110" s="8">
        <v>31.527600000000003</v>
      </c>
      <c r="G110" s="9">
        <f t="shared" si="3"/>
        <v>2821.7202</v>
      </c>
    </row>
    <row r="111" spans="2:7" ht="12">
      <c r="B111" s="5">
        <v>105</v>
      </c>
      <c r="C111" s="6" t="s">
        <v>188</v>
      </c>
      <c r="D111" s="6" t="s">
        <v>142</v>
      </c>
      <c r="E111" s="17">
        <v>0.221256</v>
      </c>
      <c r="F111" s="8">
        <v>257.742</v>
      </c>
      <c r="G111" s="9">
        <f t="shared" si="3"/>
        <v>57.02696395200001</v>
      </c>
    </row>
    <row r="112" spans="2:7" ht="12">
      <c r="B112" s="5">
        <v>106</v>
      </c>
      <c r="C112" s="6" t="s">
        <v>189</v>
      </c>
      <c r="D112" s="6" t="s">
        <v>105</v>
      </c>
      <c r="E112" s="17">
        <v>0.00048</v>
      </c>
      <c r="F112" s="8">
        <v>16455.2142</v>
      </c>
      <c r="G112" s="9">
        <f t="shared" si="3"/>
        <v>7.898502816</v>
      </c>
    </row>
    <row r="113" spans="2:7" ht="12">
      <c r="B113" s="5">
        <v>107</v>
      </c>
      <c r="C113" s="6" t="s">
        <v>190</v>
      </c>
      <c r="D113" s="6" t="s">
        <v>105</v>
      </c>
      <c r="E113" s="17">
        <v>0.0077013</v>
      </c>
      <c r="F113" s="8">
        <v>14700.7497</v>
      </c>
      <c r="G113" s="9">
        <f t="shared" si="3"/>
        <v>113.21488366461001</v>
      </c>
    </row>
    <row r="114" spans="2:7" ht="12">
      <c r="B114" s="5">
        <v>108</v>
      </c>
      <c r="C114" s="6" t="s">
        <v>191</v>
      </c>
      <c r="D114" s="6" t="s">
        <v>180</v>
      </c>
      <c r="E114" s="17">
        <v>12.24</v>
      </c>
      <c r="F114" s="8">
        <v>92.02860000000001</v>
      </c>
      <c r="G114" s="9">
        <f t="shared" si="3"/>
        <v>1126.4300640000001</v>
      </c>
    </row>
    <row r="115" spans="2:7" ht="12">
      <c r="B115" s="5">
        <v>109</v>
      </c>
      <c r="C115" s="6" t="s">
        <v>192</v>
      </c>
      <c r="D115" s="6" t="s">
        <v>105</v>
      </c>
      <c r="E115" s="17">
        <v>0.0018974</v>
      </c>
      <c r="F115" s="8">
        <v>56420.317200000005</v>
      </c>
      <c r="G115" s="9">
        <f t="shared" si="3"/>
        <v>107.05190985528002</v>
      </c>
    </row>
    <row r="116" spans="2:7" ht="12">
      <c r="B116" s="5">
        <v>110</v>
      </c>
      <c r="C116" s="6" t="s">
        <v>193</v>
      </c>
      <c r="D116" s="6" t="s">
        <v>105</v>
      </c>
      <c r="E116" s="17">
        <v>0.0008</v>
      </c>
      <c r="F116" s="18">
        <v>0.01</v>
      </c>
      <c r="G116" s="9">
        <f t="shared" si="3"/>
        <v>8.000000000000001E-06</v>
      </c>
    </row>
    <row r="117" spans="2:7" ht="12">
      <c r="B117" s="56" t="s">
        <v>55</v>
      </c>
      <c r="C117" s="57"/>
      <c r="D117" s="57"/>
      <c r="E117" s="57"/>
      <c r="F117" s="58"/>
      <c r="G117" s="10">
        <f>SUM(G37:G116)</f>
        <v>41260.03631522577</v>
      </c>
    </row>
    <row r="118" spans="2:7" ht="15">
      <c r="B118" s="60" t="s">
        <v>194</v>
      </c>
      <c r="C118" s="60"/>
      <c r="D118" s="60"/>
      <c r="E118" s="60"/>
      <c r="F118" s="60"/>
      <c r="G118" s="60"/>
    </row>
    <row r="119" spans="2:7" ht="12">
      <c r="B119" s="13">
        <v>111</v>
      </c>
      <c r="C119" s="14" t="s">
        <v>195</v>
      </c>
      <c r="D119" s="14" t="s">
        <v>108</v>
      </c>
      <c r="E119" s="15">
        <v>0.00371247</v>
      </c>
      <c r="F119" s="16">
        <v>107.46990000000001</v>
      </c>
      <c r="G119" s="19">
        <f aca="true" t="shared" si="4" ref="G119:G127">E119*F119</f>
        <v>0.398978779653</v>
      </c>
    </row>
    <row r="120" spans="2:7" ht="12">
      <c r="B120" s="5">
        <v>112</v>
      </c>
      <c r="C120" s="6" t="s">
        <v>196</v>
      </c>
      <c r="D120" s="6" t="s">
        <v>108</v>
      </c>
      <c r="E120" s="17">
        <v>0.04455026</v>
      </c>
      <c r="F120" s="8">
        <v>61.3524</v>
      </c>
      <c r="G120" s="9">
        <f t="shared" si="4"/>
        <v>2.7332653716240003</v>
      </c>
    </row>
    <row r="121" spans="2:7" ht="12">
      <c r="B121" s="5">
        <v>113</v>
      </c>
      <c r="C121" s="6" t="s">
        <v>197</v>
      </c>
      <c r="D121" s="6" t="s">
        <v>108</v>
      </c>
      <c r="E121" s="17">
        <v>0.028862</v>
      </c>
      <c r="F121" s="8">
        <v>255.98760000000001</v>
      </c>
      <c r="G121" s="9">
        <f t="shared" si="4"/>
        <v>7.3883141112</v>
      </c>
    </row>
    <row r="122" spans="2:7" ht="12">
      <c r="B122" s="5">
        <v>114</v>
      </c>
      <c r="C122" s="6" t="s">
        <v>198</v>
      </c>
      <c r="D122" s="6" t="s">
        <v>108</v>
      </c>
      <c r="E122" s="17">
        <v>0.01404</v>
      </c>
      <c r="F122" s="8">
        <v>270.90000000000003</v>
      </c>
      <c r="G122" s="9">
        <f t="shared" si="4"/>
        <v>3.8034360000000005</v>
      </c>
    </row>
    <row r="123" spans="2:7" ht="12">
      <c r="B123" s="5">
        <v>115</v>
      </c>
      <c r="C123" s="6" t="s">
        <v>199</v>
      </c>
      <c r="D123" s="6" t="s">
        <v>108</v>
      </c>
      <c r="E123" s="17">
        <v>2.3354396</v>
      </c>
      <c r="F123" s="8">
        <v>68.2281</v>
      </c>
      <c r="G123" s="9">
        <f t="shared" si="4"/>
        <v>159.34260657276</v>
      </c>
    </row>
    <row r="124" spans="2:7" ht="12">
      <c r="B124" s="5">
        <v>116</v>
      </c>
      <c r="C124" s="6" t="s">
        <v>200</v>
      </c>
      <c r="D124" s="6" t="s">
        <v>108</v>
      </c>
      <c r="E124" s="17">
        <v>0.0148616</v>
      </c>
      <c r="F124" s="8">
        <v>187.68210000000002</v>
      </c>
      <c r="G124" s="9">
        <f t="shared" si="4"/>
        <v>2.7892562973600006</v>
      </c>
    </row>
    <row r="125" spans="2:7" ht="12">
      <c r="B125" s="5">
        <v>117</v>
      </c>
      <c r="C125" s="6" t="s">
        <v>201</v>
      </c>
      <c r="D125" s="6" t="s">
        <v>108</v>
      </c>
      <c r="E125" s="17">
        <v>0.00185624</v>
      </c>
      <c r="F125" s="8">
        <v>105.78</v>
      </c>
      <c r="G125" s="9">
        <f t="shared" si="4"/>
        <v>0.1963530672</v>
      </c>
    </row>
    <row r="126" spans="2:7" ht="12">
      <c r="B126" s="5">
        <v>118</v>
      </c>
      <c r="C126" s="6" t="s">
        <v>202</v>
      </c>
      <c r="D126" s="6" t="s">
        <v>108</v>
      </c>
      <c r="E126" s="17">
        <v>0.0162</v>
      </c>
      <c r="F126" s="8">
        <v>2327.16</v>
      </c>
      <c r="G126" s="9">
        <f t="shared" si="4"/>
        <v>37.699991999999995</v>
      </c>
    </row>
    <row r="127" spans="2:7" ht="12">
      <c r="B127" s="5">
        <v>119</v>
      </c>
      <c r="C127" s="6" t="s">
        <v>203</v>
      </c>
      <c r="D127" s="6" t="s">
        <v>108</v>
      </c>
      <c r="E127" s="17">
        <v>0.00371247</v>
      </c>
      <c r="F127" s="8">
        <v>51.6</v>
      </c>
      <c r="G127" s="9">
        <f t="shared" si="4"/>
        <v>0.191563452</v>
      </c>
    </row>
    <row r="128" spans="2:7" ht="12">
      <c r="B128" s="56" t="s">
        <v>55</v>
      </c>
      <c r="C128" s="57"/>
      <c r="D128" s="57"/>
      <c r="E128" s="57"/>
      <c r="F128" s="58"/>
      <c r="G128" s="10">
        <f>SUM(G119:G127)</f>
        <v>214.54376565179697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128:F128"/>
    <mergeCell ref="B1:G1"/>
    <mergeCell ref="B4:G4"/>
    <mergeCell ref="B35:F35"/>
    <mergeCell ref="B36:G36"/>
    <mergeCell ref="B117:F117"/>
    <mergeCell ref="B118:G118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РЎРјРµС‚Р° СЂР°СЃС…РѕРґРѕРІ</dc:title>
  <dc:subject>РЎРјРµС‚Р° СЂР°СЃС…РѕРґРѕРІ</dc:subject>
  <dc:creator>РњРљР”-СЂР°СЃС‡РµС‚. Р¦РµРЅС‚СЂ РјСѓРЅРёС†РёРїР°Р»СЊРЅРѕР№ СЌРєРѕРЅРѕРјРёРєРё Рё РїСЂР°РІР°</dc:creator>
  <cp:keywords>СЃРјРµС‚Р° СЂР°СЃС‡РµС‚ Р¶РєС…</cp:keywords>
  <dc:description>РЎРјРµС‚Р° СЂР°СЃС…РѕРґРѕРІ РІРєР»СЋС‡Р°РµС‚ РїРµСЂРµС‡РµРЅСЊ СЂР°Р±РѕС‚ Рё РїРµСЂРµС‡РµРЅСЊ СЂРµСЃСѓСЂСЃРѕРІ</dc:description>
  <cp:lastModifiedBy>admin</cp:lastModifiedBy>
  <cp:lastPrinted>2017-10-06T02:20:26Z</cp:lastPrinted>
  <dcterms:created xsi:type="dcterms:W3CDTF">2015-02-11T09:34:21Z</dcterms:created>
  <dcterms:modified xsi:type="dcterms:W3CDTF">2017-10-30T23:52:20Z</dcterms:modified>
  <cp:category>Test result file</cp:category>
  <cp:version/>
  <cp:contentType/>
  <cp:contentStatus/>
</cp:coreProperties>
</file>